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wnloads\"/>
    </mc:Choice>
  </mc:AlternateContent>
  <xr:revisionPtr revIDLastSave="0" documentId="13_ncr:1_{AE1EED09-64FA-44AF-A111-47002F077F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1" l="1"/>
  <c r="A69" i="1"/>
  <c r="S97" i="1"/>
  <c r="B97" i="1"/>
  <c r="A97" i="1"/>
  <c r="S38" i="1"/>
  <c r="S64" i="1"/>
  <c r="S52" i="1"/>
  <c r="S79" i="1"/>
  <c r="S84" i="1"/>
  <c r="S24" i="1"/>
  <c r="S21" i="1"/>
  <c r="S74" i="1"/>
  <c r="S39" i="1"/>
  <c r="S85" i="1"/>
  <c r="S22" i="1"/>
  <c r="S55" i="1"/>
  <c r="S75" i="1"/>
  <c r="S14" i="1"/>
  <c r="S50" i="1"/>
  <c r="S65" i="1"/>
  <c r="S58" i="1"/>
  <c r="S32" i="1"/>
  <c r="S88" i="1"/>
  <c r="S12" i="1"/>
  <c r="S94" i="1"/>
  <c r="S53" i="1"/>
  <c r="S91" i="1"/>
  <c r="S28" i="1"/>
  <c r="S78" i="1"/>
  <c r="S9" i="1"/>
  <c r="S16" i="1"/>
  <c r="S90" i="1"/>
  <c r="S15" i="1"/>
  <c r="S10" i="1"/>
  <c r="S60" i="1"/>
  <c r="S89" i="1"/>
  <c r="S11" i="1"/>
  <c r="S47" i="1"/>
  <c r="S8" i="1"/>
  <c r="S45" i="1"/>
  <c r="S54" i="1"/>
  <c r="S87" i="1"/>
  <c r="S44" i="1"/>
  <c r="S66" i="1"/>
  <c r="S41" i="1"/>
  <c r="S40" i="1"/>
  <c r="S33" i="1"/>
  <c r="S23" i="1"/>
  <c r="S82" i="1"/>
  <c r="S57" i="1"/>
  <c r="S31" i="1"/>
  <c r="S46" i="1"/>
  <c r="S59" i="1"/>
  <c r="S30" i="1"/>
  <c r="S62" i="1"/>
  <c r="S37" i="1"/>
  <c r="S43" i="1"/>
  <c r="S61" i="1"/>
  <c r="S83" i="1"/>
  <c r="S63" i="1"/>
  <c r="S13" i="1"/>
  <c r="S67" i="1"/>
  <c r="S29" i="1"/>
  <c r="S77" i="1"/>
  <c r="S25" i="1"/>
  <c r="A95" i="1"/>
  <c r="A94" i="1"/>
  <c r="A92" i="1"/>
  <c r="A89" i="1"/>
  <c r="A90" i="1"/>
  <c r="A87" i="1"/>
  <c r="A88" i="1"/>
  <c r="A91" i="1"/>
  <c r="A82" i="1"/>
  <c r="A83" i="1"/>
  <c r="A84" i="1"/>
  <c r="A77" i="1"/>
  <c r="A85" i="1"/>
  <c r="A79" i="1"/>
  <c r="A80" i="1"/>
  <c r="A75" i="1"/>
  <c r="A78" i="1"/>
  <c r="A74" i="1"/>
  <c r="A70" i="1"/>
  <c r="A40" i="1"/>
  <c r="A63" i="1"/>
  <c r="A65" i="1"/>
  <c r="A64" i="1"/>
  <c r="A57" i="1"/>
  <c r="A72" i="1"/>
  <c r="A58" i="1"/>
  <c r="A67" i="1"/>
  <c r="A66" i="1"/>
  <c r="A59" i="1"/>
  <c r="A62" i="1"/>
  <c r="A60" i="1"/>
  <c r="A61" i="1"/>
  <c r="A71" i="1"/>
  <c r="A68" i="1"/>
  <c r="A55" i="1"/>
  <c r="A53" i="1"/>
  <c r="A52" i="1"/>
  <c r="A54" i="1"/>
  <c r="A50" i="1"/>
  <c r="A43" i="1"/>
  <c r="A47" i="1"/>
  <c r="A48" i="1"/>
  <c r="A16" i="1"/>
  <c r="A46" i="1"/>
  <c r="A44" i="1"/>
  <c r="A45" i="1"/>
  <c r="A38" i="1"/>
  <c r="A41" i="1"/>
  <c r="A37" i="1"/>
  <c r="A39" i="1"/>
  <c r="A30" i="1"/>
  <c r="A32" i="1"/>
  <c r="A28" i="1"/>
  <c r="A35" i="1"/>
  <c r="A29" i="1"/>
  <c r="A31" i="1"/>
  <c r="A33" i="1"/>
  <c r="A34" i="1"/>
  <c r="A21" i="1"/>
  <c r="A24" i="1"/>
  <c r="A25" i="1"/>
  <c r="A26" i="1"/>
  <c r="A22" i="1"/>
  <c r="A11" i="1"/>
  <c r="A8" i="1"/>
  <c r="A19" i="1"/>
  <c r="A12" i="1"/>
  <c r="A10" i="1"/>
  <c r="A14" i="1"/>
  <c r="A13" i="1"/>
  <c r="A18" i="1"/>
  <c r="A9" i="1"/>
  <c r="A17" i="1"/>
  <c r="A15" i="1"/>
  <c r="A23" i="1"/>
  <c r="B95" i="1"/>
  <c r="B94" i="1"/>
  <c r="B92" i="1"/>
  <c r="B89" i="1"/>
  <c r="B90" i="1"/>
  <c r="B87" i="1"/>
  <c r="B88" i="1"/>
  <c r="B91" i="1"/>
  <c r="B82" i="1"/>
  <c r="B83" i="1"/>
  <c r="B84" i="1"/>
  <c r="B77" i="1"/>
  <c r="B85" i="1"/>
  <c r="B79" i="1"/>
  <c r="B80" i="1"/>
  <c r="B75" i="1"/>
  <c r="B78" i="1"/>
  <c r="B74" i="1"/>
  <c r="B70" i="1"/>
  <c r="B40" i="1"/>
  <c r="B63" i="1"/>
  <c r="B65" i="1"/>
  <c r="B64" i="1"/>
  <c r="B57" i="1"/>
  <c r="B72" i="1"/>
  <c r="B58" i="1"/>
  <c r="B67" i="1"/>
  <c r="B66" i="1"/>
  <c r="B59" i="1"/>
  <c r="B62" i="1"/>
  <c r="B60" i="1"/>
  <c r="B61" i="1"/>
  <c r="B71" i="1"/>
  <c r="B68" i="1"/>
  <c r="B55" i="1"/>
  <c r="B53" i="1"/>
  <c r="B52" i="1"/>
  <c r="B54" i="1"/>
  <c r="B50" i="1"/>
  <c r="B43" i="1"/>
  <c r="B47" i="1"/>
  <c r="B48" i="1"/>
  <c r="B16" i="1"/>
  <c r="B46" i="1"/>
  <c r="B44" i="1"/>
  <c r="B45" i="1"/>
  <c r="B38" i="1"/>
  <c r="B41" i="1"/>
  <c r="B37" i="1"/>
  <c r="B39" i="1"/>
  <c r="B30" i="1"/>
  <c r="B32" i="1"/>
  <c r="B28" i="1"/>
  <c r="B35" i="1"/>
  <c r="B29" i="1"/>
  <c r="B31" i="1"/>
  <c r="B33" i="1"/>
  <c r="B34" i="1"/>
  <c r="B21" i="1"/>
  <c r="B24" i="1"/>
  <c r="B25" i="1"/>
  <c r="B26" i="1"/>
  <c r="B22" i="1"/>
  <c r="B11" i="1"/>
  <c r="B8" i="1"/>
  <c r="B19" i="1"/>
  <c r="B12" i="1"/>
  <c r="B10" i="1"/>
  <c r="B14" i="1"/>
  <c r="B13" i="1"/>
  <c r="B18" i="1"/>
  <c r="B9" i="1"/>
  <c r="B17" i="1"/>
  <c r="B15" i="1"/>
  <c r="B23" i="1"/>
</calcChain>
</file>

<file path=xl/sharedStrings.xml><?xml version="1.0" encoding="utf-8"?>
<sst xmlns="http://schemas.openxmlformats.org/spreadsheetml/2006/main" count="617" uniqueCount="230">
  <si>
    <t>Hazel</t>
  </si>
  <si>
    <t>Parker</t>
  </si>
  <si>
    <t>Adult E</t>
  </si>
  <si>
    <t>Waltham Chase Trials MCC</t>
  </si>
  <si>
    <t>Thomas</t>
  </si>
  <si>
    <t>Richards</t>
  </si>
  <si>
    <t>Clubman</t>
  </si>
  <si>
    <t>Peter</t>
  </si>
  <si>
    <t>Penton</t>
  </si>
  <si>
    <t>Chris</t>
  </si>
  <si>
    <t>Hay</t>
  </si>
  <si>
    <t>Brian</t>
  </si>
  <si>
    <t>Francis</t>
  </si>
  <si>
    <t>Jake</t>
  </si>
  <si>
    <t>Forward</t>
  </si>
  <si>
    <t>Paul</t>
  </si>
  <si>
    <t>Garland</t>
  </si>
  <si>
    <t>Jack</t>
  </si>
  <si>
    <t>Somerton</t>
  </si>
  <si>
    <t>Mark</t>
  </si>
  <si>
    <t>Elms</t>
  </si>
  <si>
    <t>Dean</t>
  </si>
  <si>
    <t>Skerratt</t>
  </si>
  <si>
    <t>Matthew</t>
  </si>
  <si>
    <t>Sleep</t>
  </si>
  <si>
    <t>Ball</t>
  </si>
  <si>
    <t>Reynard</t>
  </si>
  <si>
    <t>Norris</t>
  </si>
  <si>
    <t>Alan</t>
  </si>
  <si>
    <t>Ayres</t>
  </si>
  <si>
    <t>Expert</t>
  </si>
  <si>
    <t>Bailey</t>
  </si>
  <si>
    <t>Tibbs</t>
  </si>
  <si>
    <t>Marsh</t>
  </si>
  <si>
    <t>Nick</t>
  </si>
  <si>
    <t>Hosford</t>
  </si>
  <si>
    <t>Dance</t>
  </si>
  <si>
    <t>Barry</t>
  </si>
  <si>
    <t>Hickman</t>
  </si>
  <si>
    <t>Novice</t>
  </si>
  <si>
    <t>Nigel</t>
  </si>
  <si>
    <t>Jarvis</t>
  </si>
  <si>
    <t>Ryalls</t>
  </si>
  <si>
    <t>Ronnie</t>
  </si>
  <si>
    <t>Allen</t>
  </si>
  <si>
    <t>Hughes</t>
  </si>
  <si>
    <t>Richard</t>
  </si>
  <si>
    <t>Gennings</t>
  </si>
  <si>
    <t>Jo</t>
  </si>
  <si>
    <t>Clark</t>
  </si>
  <si>
    <t>Graham</t>
  </si>
  <si>
    <t>Butt</t>
  </si>
  <si>
    <t>James</t>
  </si>
  <si>
    <t>Page</t>
  </si>
  <si>
    <t>Pre-65 D</t>
  </si>
  <si>
    <t>Jarrett</t>
  </si>
  <si>
    <t>Emily</t>
  </si>
  <si>
    <t>Andy</t>
  </si>
  <si>
    <t>Withers</t>
  </si>
  <si>
    <t>Samuel</t>
  </si>
  <si>
    <t>Hurst</t>
  </si>
  <si>
    <t>Sportsman</t>
  </si>
  <si>
    <t>Rowden</t>
  </si>
  <si>
    <t>Bryant</t>
  </si>
  <si>
    <t>Leevan</t>
  </si>
  <si>
    <t>Laishley</t>
  </si>
  <si>
    <t>Clint</t>
  </si>
  <si>
    <t>Sparrey</t>
  </si>
  <si>
    <t>Damon</t>
  </si>
  <si>
    <t>Wiseman</t>
  </si>
  <si>
    <t>Jason</t>
  </si>
  <si>
    <t>Gates</t>
  </si>
  <si>
    <t>Twin Shock C</t>
  </si>
  <si>
    <t>Stephen</t>
  </si>
  <si>
    <t>Wagstaff</t>
  </si>
  <si>
    <t>Twin Shock D</t>
  </si>
  <si>
    <t>Mike</t>
  </si>
  <si>
    <t>Popperwell</t>
  </si>
  <si>
    <t>Westbrook</t>
  </si>
  <si>
    <t>Ged</t>
  </si>
  <si>
    <t>Goldsmith</t>
  </si>
  <si>
    <t>Chivers</t>
  </si>
  <si>
    <t>Veteran</t>
  </si>
  <si>
    <t>Harris</t>
  </si>
  <si>
    <t>Ian</t>
  </si>
  <si>
    <t>Bird</t>
  </si>
  <si>
    <t>Newcombe</t>
  </si>
  <si>
    <t>Mick</t>
  </si>
  <si>
    <t>Treagus</t>
  </si>
  <si>
    <t>Machinek</t>
  </si>
  <si>
    <t>Trevor</t>
  </si>
  <si>
    <t>Gatrell</t>
  </si>
  <si>
    <t>Martin</t>
  </si>
  <si>
    <t>Penfold</t>
  </si>
  <si>
    <t>Curnick</t>
  </si>
  <si>
    <t>Steve</t>
  </si>
  <si>
    <t>Cronin</t>
  </si>
  <si>
    <t>Smallshaw</t>
  </si>
  <si>
    <t>Shamus</t>
  </si>
  <si>
    <t>Doohan</t>
  </si>
  <si>
    <t>Stewart</t>
  </si>
  <si>
    <t>Read</t>
  </si>
  <si>
    <t>Elkins</t>
  </si>
  <si>
    <t>Clive</t>
  </si>
  <si>
    <t>Wilson</t>
  </si>
  <si>
    <t>Bartholomew</t>
  </si>
  <si>
    <t>Max</t>
  </si>
  <si>
    <t>Youth A</t>
  </si>
  <si>
    <t>Adam</t>
  </si>
  <si>
    <t>Kilbey</t>
  </si>
  <si>
    <t>Youth B</t>
  </si>
  <si>
    <t>Packham</t>
  </si>
  <si>
    <t>Harrison</t>
  </si>
  <si>
    <t>Kent</t>
  </si>
  <si>
    <t>Luke</t>
  </si>
  <si>
    <t>Batten</t>
  </si>
  <si>
    <t>Bay</t>
  </si>
  <si>
    <t>Robinson</t>
  </si>
  <si>
    <t>Youth C</t>
  </si>
  <si>
    <t>William</t>
  </si>
  <si>
    <t>Sparks</t>
  </si>
  <si>
    <t>Joseph</t>
  </si>
  <si>
    <t>Baker</t>
  </si>
  <si>
    <t>Billy</t>
  </si>
  <si>
    <t>Guilford</t>
  </si>
  <si>
    <t>David</t>
  </si>
  <si>
    <t>Leon</t>
  </si>
  <si>
    <t>Baude</t>
  </si>
  <si>
    <t>Youth D</t>
  </si>
  <si>
    <t>Sam</t>
  </si>
  <si>
    <t>Dexter</t>
  </si>
  <si>
    <t>Scott</t>
  </si>
  <si>
    <t>Tommy</t>
  </si>
  <si>
    <t>Wakeford</t>
  </si>
  <si>
    <t>Alfie</t>
  </si>
  <si>
    <t>Charlotte</t>
  </si>
  <si>
    <t>Youth E</t>
  </si>
  <si>
    <t>Baker-Moore</t>
  </si>
  <si>
    <t>No.</t>
  </si>
  <si>
    <t>ACU</t>
  </si>
  <si>
    <t>Name</t>
  </si>
  <si>
    <t>Class</t>
  </si>
  <si>
    <t>Machine</t>
  </si>
  <si>
    <t>Oset 24R</t>
  </si>
  <si>
    <t>Gas Gas TXT 300</t>
  </si>
  <si>
    <t>Sherco</t>
  </si>
  <si>
    <t>Beta Evo 300</t>
  </si>
  <si>
    <t>Fantic K Roo</t>
  </si>
  <si>
    <t>TRS ONE R 250</t>
  </si>
  <si>
    <t>Vertigo DL 250</t>
  </si>
  <si>
    <t>Beta Evo 250</t>
  </si>
  <si>
    <t>Beta Evo Factory 250</t>
  </si>
  <si>
    <t>Beta 300 Factory</t>
  </si>
  <si>
    <t>Montesa 301 RR</t>
  </si>
  <si>
    <t>Montesa 4RT</t>
  </si>
  <si>
    <t>Gas Gas 300</t>
  </si>
  <si>
    <t>Yamaha 250</t>
  </si>
  <si>
    <t>Gas Gas TXT Racing 250</t>
  </si>
  <si>
    <t>Gas Gas 125</t>
  </si>
  <si>
    <t>Montesa 315R</t>
  </si>
  <si>
    <t>Beta Rev3 250</t>
  </si>
  <si>
    <t>Beta Evo 290</t>
  </si>
  <si>
    <t>TRS RR 300</t>
  </si>
  <si>
    <t>Matchless 350</t>
  </si>
  <si>
    <t>BSA B40</t>
  </si>
  <si>
    <t>Sherco ST 250 Factory</t>
  </si>
  <si>
    <t>Gas Gas TXT 250</t>
  </si>
  <si>
    <t>Honda TLR 200</t>
  </si>
  <si>
    <t>Ossa Mar 250</t>
  </si>
  <si>
    <t>Honda TL125</t>
  </si>
  <si>
    <t>Vertigo 250 Combat</t>
  </si>
  <si>
    <t>Honda 260</t>
  </si>
  <si>
    <t>Montesa 260</t>
  </si>
  <si>
    <t>Beta Factory 300</t>
  </si>
  <si>
    <t>Vertigo JB-R200</t>
  </si>
  <si>
    <t>Sherco 300</t>
  </si>
  <si>
    <t>TRS ONE R 300</t>
  </si>
  <si>
    <t>TRRS 250</t>
  </si>
  <si>
    <t>Montesa 300RR</t>
  </si>
  <si>
    <t>Gas Gas 250 Pro</t>
  </si>
  <si>
    <t>TRS 250</t>
  </si>
  <si>
    <t>TRS 300 RR</t>
  </si>
  <si>
    <t>TRRS 125</t>
  </si>
  <si>
    <t>Gas Gas TXT 125</t>
  </si>
  <si>
    <t>Beta 80 Senior</t>
  </si>
  <si>
    <t>TRS 125</t>
  </si>
  <si>
    <t>Beta 80</t>
  </si>
  <si>
    <t>Gas Gas 125 GP</t>
  </si>
  <si>
    <t>Oset 20R</t>
  </si>
  <si>
    <t>Beta Evo 80</t>
  </si>
  <si>
    <t>Oset</t>
  </si>
  <si>
    <t>Boost Bike</t>
  </si>
  <si>
    <t>Sherco 50</t>
  </si>
  <si>
    <t>Beta Evo</t>
  </si>
  <si>
    <t>Oset 20</t>
  </si>
  <si>
    <t>Gas Gas 50 Junior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</si>
  <si>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</si>
  <si>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</si>
  <si>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</si>
  <si>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</si>
  <si>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</si>
  <si>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</si>
  <si>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</si>
  <si>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</si>
  <si>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</si>
  <si>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</si>
  <si>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</si>
  <si>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</si>
  <si>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</si>
  <si>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Pos.</t>
  </si>
  <si>
    <t>Results</t>
  </si>
  <si>
    <t>The Francis Family Trial -Hut Hill Saturday 12th November 2022- Permit 64407</t>
  </si>
  <si>
    <t xml:space="preserve"> </t>
  </si>
  <si>
    <t>DNS</t>
  </si>
  <si>
    <t>DNF</t>
  </si>
  <si>
    <t>Dan</t>
  </si>
  <si>
    <t>Terry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</si>
  <si>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</si>
  <si>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</si>
  <si>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</si>
  <si>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</si>
  <si>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</si>
  <si>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</si>
  <si>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</si>
  <si>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</si>
  <si>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</si>
  <si>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 xml:space="preserve">Mik </t>
  </si>
  <si>
    <t>10th</t>
  </si>
  <si>
    <t>11th</t>
  </si>
  <si>
    <t>Ariel 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</si>
</sst>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0" fillId="0" borderId="10" xfId="0" applyBorder="1" applyAlignment="1">
      <alignment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1" xfId="0" applyBorder="1"/>
    <xf numFmtId="0" fontId="0" fillId="0" borderId="11" xfId="0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1" xfId="0" applyFont="1" applyBorder="1"/>
    <xf numFmtId="0" fontId="16" fillId="0" borderId="11" xfId="0" applyFont="1" applyBorder="1" applyAlignment="1">
      <alignment horizontal="center"/>
    </xf>
    <xf numFmtId="1" fontId="0" fillId="0" borderId="15" xfId="0" applyNumberFormat="1" applyBorder="1" applyAlignment="1">
      <alignment horizontal="center" wrapText="1"/>
    </xf>
    <xf numFmtId="1" fontId="0" fillId="0" borderId="10" xfId="0" applyNumberFormat="1" applyBorder="1" applyAlignment="1">
      <alignment horizontal="center" wrapText="1"/>
    </xf>
    <xf numFmtId="0" fontId="0" fillId="0" borderId="11" xfId="0" applyBorder="1" applyAlignment="1">
      <alignment wrapText="1"/>
    </xf>
    <xf numFmtId="1" fontId="0" fillId="0" borderId="11" xfId="0" applyNumberFormat="1" applyBorder="1" applyAlignment="1">
      <alignment horizontal="center" wrapText="1"/>
    </xf>
    <xf numFmtId="0" fontId="0" fillId="0" borderId="14" xfId="0" applyBorder="1" applyAlignment="1">
      <alignment wrapText="1"/>
    </xf>
    <xf numFmtId="1" fontId="0" fillId="0" borderId="14" xfId="0" applyNumberFormat="1" applyBorder="1" applyAlignment="1">
      <alignment horizontal="center" wrapText="1"/>
    </xf>
    <xf numFmtId="0" fontId="0" fillId="0" borderId="12" xfId="0" applyBorder="1" applyAlignment="1">
      <alignment wrapText="1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7"/>
  <sheetViews>
    <sheetView showGridLines="0" tabSelected="1" workbookViewId="0">
      <selection activeCell="I19" sqref="I19"/>
    </sheetView>
  </sheetViews>
  <sheetFormatPr defaultRowHeight="15" x14ac:dyDescent="0.25"/>
  <cols>
    <col min="1" max="1" width="9.5703125" style="2" customWidth="1"/>
    <col min="2" max="2" width="12.42578125" style="2" customWidth="1"/>
    <col min="3" max="3" width="11.42578125" bestFit="1" customWidth="1"/>
    <col min="4" max="4" width="14.42578125" customWidth="1"/>
    <col min="5" max="5" width="14" customWidth="1"/>
    <col min="6" max="6" width="25.140625" customWidth="1"/>
    <col min="7" max="16" width="6.7109375" style="2" customWidth="1"/>
    <col min="17" max="17" width="7.28515625" style="2" customWidth="1"/>
    <col min="18" max="20" width="6.7109375" style="2" customWidth="1"/>
  </cols>
  <sheetData>
    <row r="1" spans="1:20" x14ac:dyDescent="0.25">
      <c r="A1" s="24" t="s">
        <v>210</v>
      </c>
      <c r="B1" s="24"/>
      <c r="C1" s="24"/>
      <c r="D1" s="24"/>
      <c r="E1" s="24"/>
      <c r="F1" s="24"/>
    </row>
    <row r="2" spans="1:20" x14ac:dyDescent="0.25">
      <c r="A2" s="12"/>
      <c r="B2" s="12"/>
      <c r="C2" s="12"/>
      <c r="D2" s="12"/>
      <c r="E2" s="12"/>
      <c r="F2" s="12"/>
    </row>
    <row r="3" spans="1:20" x14ac:dyDescent="0.25">
      <c r="A3" s="24" t="s">
        <v>3</v>
      </c>
      <c r="B3" s="24"/>
      <c r="C3" s="24"/>
      <c r="D3" s="24"/>
      <c r="E3" s="24"/>
      <c r="F3" s="24"/>
    </row>
    <row r="4" spans="1:20" x14ac:dyDescent="0.25">
      <c r="A4" s="12"/>
      <c r="B4" s="12"/>
      <c r="C4" s="13"/>
      <c r="D4" s="13"/>
      <c r="E4" s="13"/>
      <c r="F4" s="13"/>
    </row>
    <row r="5" spans="1:20" x14ac:dyDescent="0.25">
      <c r="A5" s="24" t="s">
        <v>211</v>
      </c>
      <c r="B5" s="24"/>
      <c r="C5" s="24"/>
      <c r="D5" s="24"/>
      <c r="E5" s="24"/>
      <c r="F5" s="24"/>
    </row>
    <row r="7" spans="1:20" s="13" customFormat="1" x14ac:dyDescent="0.25">
      <c r="A7" s="15" t="s">
        <v>138</v>
      </c>
      <c r="B7" s="15" t="s">
        <v>139</v>
      </c>
      <c r="C7" s="23" t="s">
        <v>140</v>
      </c>
      <c r="D7" s="23"/>
      <c r="E7" s="14" t="s">
        <v>141</v>
      </c>
      <c r="F7" s="14" t="s">
        <v>142</v>
      </c>
      <c r="G7" s="15" t="s">
        <v>196</v>
      </c>
      <c r="H7" s="15" t="s">
        <v>197</v>
      </c>
      <c r="I7" s="15" t="s">
        <v>198</v>
      </c>
      <c r="J7" s="15" t="s">
        <v>199</v>
      </c>
      <c r="K7" s="15" t="s">
        <v>200</v>
      </c>
      <c r="L7" s="15" t="s">
        <v>201</v>
      </c>
      <c r="M7" s="15" t="s">
        <v>202</v>
      </c>
      <c r="N7" s="15" t="s">
        <v>203</v>
      </c>
      <c r="O7" s="15" t="s">
        <v>204</v>
      </c>
      <c r="P7" s="15" t="s">
        <v>205</v>
      </c>
      <c r="Q7" s="15" t="s">
        <v>206</v>
      </c>
      <c r="R7" s="15" t="s">
        <v>207</v>
      </c>
      <c r="S7" s="15" t="s">
        <v>208</v>
      </c>
      <c r="T7" s="15" t="s">
        <v>209</v>
      </c>
    </row>
    <row r="8" spans="1:20" x14ac:dyDescent="0.25">
      <c r="A8" s="3" t="str">
        <f>("178")</f>
        <v>178</v>
      </c>
      <c r="B8" s="3" t="str">
        <f>("107356")</f>
        <v>107356</v>
      </c>
      <c r="C8" s="1" t="s">
        <v>57</v>
      </c>
      <c r="D8" s="1" t="s">
        <v>25</v>
      </c>
      <c r="E8" s="1" t="s">
        <v>6</v>
      </c>
      <c r="F8" s="1" t="s">
        <v>144</v>
      </c>
      <c r="G8" s="3">
        <v>1</v>
      </c>
      <c r="H8" s="3">
        <v>0</v>
      </c>
      <c r="I8" s="3">
        <v>0</v>
      </c>
      <c r="J8" s="4">
        <v>0</v>
      </c>
      <c r="K8" s="8">
        <v>0</v>
      </c>
      <c r="L8" s="5">
        <v>3</v>
      </c>
      <c r="M8" s="3">
        <v>0</v>
      </c>
      <c r="N8" s="3">
        <v>0</v>
      </c>
      <c r="O8" s="3">
        <v>0</v>
      </c>
      <c r="P8" s="3">
        <v>1</v>
      </c>
      <c r="Q8" s="17">
        <v>1</v>
      </c>
      <c r="R8" s="3">
        <v>1</v>
      </c>
      <c r="S8" s="7">
        <f t="shared" ref="S8:S16" si="0">SUM(G8:R8)</f>
        <v>7</v>
      </c>
      <c r="T8" s="3" t="s">
        <v>217</v>
      </c>
    </row>
    <row r="9" spans="1:20" x14ac:dyDescent="0.25">
      <c r="A9" s="3" t="str">
        <f>("262")</f>
        <v>262</v>
      </c>
      <c r="B9" s="3" t="str">
        <f>("53187")</f>
        <v>53187</v>
      </c>
      <c r="C9" s="1" t="s">
        <v>11</v>
      </c>
      <c r="D9" s="1" t="s">
        <v>12</v>
      </c>
      <c r="E9" s="1" t="s">
        <v>6</v>
      </c>
      <c r="F9" s="1" t="s">
        <v>147</v>
      </c>
      <c r="G9" s="3">
        <v>1</v>
      </c>
      <c r="H9" s="3">
        <v>2</v>
      </c>
      <c r="I9" s="3">
        <v>0</v>
      </c>
      <c r="J9" s="3">
        <v>2</v>
      </c>
      <c r="K9" s="7">
        <v>3</v>
      </c>
      <c r="L9" s="3">
        <v>4</v>
      </c>
      <c r="M9" s="3">
        <v>0</v>
      </c>
      <c r="N9" s="3">
        <v>1</v>
      </c>
      <c r="O9" s="3">
        <v>2</v>
      </c>
      <c r="P9" s="3">
        <v>0</v>
      </c>
      <c r="Q9" s="17">
        <v>0</v>
      </c>
      <c r="R9" s="3">
        <v>0</v>
      </c>
      <c r="S9" s="7">
        <f t="shared" si="0"/>
        <v>15</v>
      </c>
      <c r="T9" s="3" t="s">
        <v>218</v>
      </c>
    </row>
    <row r="10" spans="1:20" x14ac:dyDescent="0.25">
      <c r="A10" s="3" t="str">
        <f>("225")</f>
        <v>225</v>
      </c>
      <c r="B10" s="3" t="str">
        <f>("54396")</f>
        <v>54396</v>
      </c>
      <c r="C10" s="1" t="s">
        <v>19</v>
      </c>
      <c r="D10" s="1" t="s">
        <v>20</v>
      </c>
      <c r="E10" s="1" t="s">
        <v>6</v>
      </c>
      <c r="F10" s="1" t="s">
        <v>151</v>
      </c>
      <c r="G10" s="3">
        <v>2</v>
      </c>
      <c r="H10" s="3">
        <v>2</v>
      </c>
      <c r="I10" s="3">
        <v>3</v>
      </c>
      <c r="J10" s="3">
        <v>0</v>
      </c>
      <c r="K10" s="3">
        <v>1</v>
      </c>
      <c r="L10" s="3">
        <v>5</v>
      </c>
      <c r="M10" s="3">
        <v>0</v>
      </c>
      <c r="N10" s="3">
        <v>1</v>
      </c>
      <c r="O10" s="3">
        <v>0</v>
      </c>
      <c r="P10" s="3">
        <v>0</v>
      </c>
      <c r="Q10" s="17">
        <v>4</v>
      </c>
      <c r="R10" s="3">
        <v>0</v>
      </c>
      <c r="S10" s="7">
        <f t="shared" si="0"/>
        <v>18</v>
      </c>
      <c r="T10" s="3" t="s">
        <v>219</v>
      </c>
    </row>
    <row r="11" spans="1:20" x14ac:dyDescent="0.25">
      <c r="A11" s="3" t="str">
        <f>("190")</f>
        <v>190</v>
      </c>
      <c r="B11" s="3" t="str">
        <f>("11704")</f>
        <v>11704</v>
      </c>
      <c r="C11" s="1" t="s">
        <v>26</v>
      </c>
      <c r="D11" s="1" t="s">
        <v>27</v>
      </c>
      <c r="E11" s="1" t="s">
        <v>6</v>
      </c>
      <c r="F11" s="1" t="s">
        <v>150</v>
      </c>
      <c r="G11" s="3">
        <v>3</v>
      </c>
      <c r="H11" s="3">
        <v>1</v>
      </c>
      <c r="I11" s="3">
        <v>1</v>
      </c>
      <c r="J11" s="3">
        <v>1</v>
      </c>
      <c r="K11" s="3">
        <v>0</v>
      </c>
      <c r="L11" s="3">
        <v>6</v>
      </c>
      <c r="M11" s="3">
        <v>0</v>
      </c>
      <c r="N11" s="3">
        <v>0</v>
      </c>
      <c r="O11" s="3">
        <v>5</v>
      </c>
      <c r="P11" s="3">
        <v>1</v>
      </c>
      <c r="Q11" s="17">
        <v>3</v>
      </c>
      <c r="R11" s="3">
        <v>0</v>
      </c>
      <c r="S11" s="7">
        <f t="shared" si="0"/>
        <v>21</v>
      </c>
      <c r="T11" s="3" t="s">
        <v>220</v>
      </c>
    </row>
    <row r="12" spans="1:20" x14ac:dyDescent="0.25">
      <c r="A12" s="3" t="str">
        <f>("577")</f>
        <v>577</v>
      </c>
      <c r="B12" s="3" t="str">
        <f>("154356")</f>
        <v>154356</v>
      </c>
      <c r="C12" s="1" t="s">
        <v>21</v>
      </c>
      <c r="D12" s="1" t="s">
        <v>22</v>
      </c>
      <c r="E12" s="1" t="s">
        <v>6</v>
      </c>
      <c r="F12" s="1" t="s">
        <v>152</v>
      </c>
      <c r="G12" s="3">
        <v>5</v>
      </c>
      <c r="H12" s="3">
        <v>0</v>
      </c>
      <c r="I12" s="3">
        <v>2</v>
      </c>
      <c r="J12" s="3">
        <v>1</v>
      </c>
      <c r="K12" s="3">
        <v>1</v>
      </c>
      <c r="L12" s="3">
        <v>12</v>
      </c>
      <c r="M12" s="3">
        <v>1</v>
      </c>
      <c r="N12" s="3">
        <v>0</v>
      </c>
      <c r="O12" s="3">
        <v>0</v>
      </c>
      <c r="P12" s="3">
        <v>0</v>
      </c>
      <c r="Q12" s="17">
        <v>2</v>
      </c>
      <c r="R12" s="3">
        <v>2</v>
      </c>
      <c r="S12" s="7">
        <f t="shared" si="0"/>
        <v>26</v>
      </c>
      <c r="T12" s="3" t="s">
        <v>221</v>
      </c>
    </row>
    <row r="13" spans="1:20" x14ac:dyDescent="0.25">
      <c r="A13" s="3" t="str">
        <f>("26")</f>
        <v>26</v>
      </c>
      <c r="B13" s="3" t="str">
        <f>("129780")</f>
        <v>129780</v>
      </c>
      <c r="C13" s="1" t="s">
        <v>15</v>
      </c>
      <c r="D13" s="1" t="s">
        <v>16</v>
      </c>
      <c r="E13" s="1" t="s">
        <v>6</v>
      </c>
      <c r="F13" s="1" t="s">
        <v>149</v>
      </c>
      <c r="G13" s="3">
        <v>5</v>
      </c>
      <c r="H13" s="3">
        <v>2</v>
      </c>
      <c r="I13" s="3">
        <v>0</v>
      </c>
      <c r="J13" s="3">
        <v>1</v>
      </c>
      <c r="K13" s="3">
        <v>1</v>
      </c>
      <c r="L13" s="3">
        <v>7</v>
      </c>
      <c r="M13" s="3">
        <v>8</v>
      </c>
      <c r="N13" s="3">
        <v>5</v>
      </c>
      <c r="O13" s="3">
        <v>0</v>
      </c>
      <c r="P13" s="3">
        <v>4</v>
      </c>
      <c r="Q13" s="17">
        <v>3</v>
      </c>
      <c r="R13" s="3">
        <v>0</v>
      </c>
      <c r="S13" s="7">
        <f t="shared" si="0"/>
        <v>36</v>
      </c>
      <c r="T13" s="3" t="s">
        <v>222</v>
      </c>
    </row>
    <row r="14" spans="1:20" x14ac:dyDescent="0.25">
      <c r="A14" s="3" t="str">
        <f>("806")</f>
        <v>806</v>
      </c>
      <c r="B14" s="3" t="str">
        <f>("146195")</f>
        <v>146195</v>
      </c>
      <c r="C14" s="1" t="s">
        <v>17</v>
      </c>
      <c r="D14" s="1" t="s">
        <v>18</v>
      </c>
      <c r="E14" s="1" t="s">
        <v>6</v>
      </c>
      <c r="F14" s="1" t="s">
        <v>150</v>
      </c>
      <c r="G14" s="3">
        <v>6</v>
      </c>
      <c r="H14" s="3">
        <v>4</v>
      </c>
      <c r="I14" s="3">
        <v>6</v>
      </c>
      <c r="J14" s="3">
        <v>1</v>
      </c>
      <c r="K14" s="3">
        <v>5</v>
      </c>
      <c r="L14" s="3">
        <v>8</v>
      </c>
      <c r="M14" s="3">
        <v>2</v>
      </c>
      <c r="N14" s="3">
        <v>10</v>
      </c>
      <c r="O14" s="3">
        <v>0</v>
      </c>
      <c r="P14" s="3">
        <v>9</v>
      </c>
      <c r="Q14" s="17">
        <v>6</v>
      </c>
      <c r="R14" s="3">
        <v>0</v>
      </c>
      <c r="S14" s="7">
        <f t="shared" si="0"/>
        <v>57</v>
      </c>
      <c r="T14" s="3" t="s">
        <v>223</v>
      </c>
    </row>
    <row r="15" spans="1:20" x14ac:dyDescent="0.25">
      <c r="A15" s="3" t="str">
        <f>("249")</f>
        <v>249</v>
      </c>
      <c r="B15" s="3" t="str">
        <f>("74864")</f>
        <v>74864</v>
      </c>
      <c r="C15" s="1" t="s">
        <v>7</v>
      </c>
      <c r="D15" s="1" t="s">
        <v>8</v>
      </c>
      <c r="E15" s="1" t="s">
        <v>6</v>
      </c>
      <c r="F15" s="1" t="s">
        <v>145</v>
      </c>
      <c r="G15" s="3">
        <v>7</v>
      </c>
      <c r="H15" s="3">
        <v>2</v>
      </c>
      <c r="I15" s="3">
        <v>5</v>
      </c>
      <c r="J15" s="3">
        <v>4</v>
      </c>
      <c r="K15" s="3">
        <v>0</v>
      </c>
      <c r="L15" s="3">
        <v>10</v>
      </c>
      <c r="M15" s="3">
        <v>3</v>
      </c>
      <c r="N15" s="3">
        <v>7</v>
      </c>
      <c r="O15" s="3">
        <v>5</v>
      </c>
      <c r="P15" s="3">
        <v>9</v>
      </c>
      <c r="Q15" s="17">
        <v>6</v>
      </c>
      <c r="R15" s="3">
        <v>0</v>
      </c>
      <c r="S15" s="7">
        <f t="shared" si="0"/>
        <v>58</v>
      </c>
      <c r="T15" s="3" t="s">
        <v>224</v>
      </c>
    </row>
    <row r="16" spans="1:20" x14ac:dyDescent="0.25">
      <c r="A16" s="3" t="str">
        <f>("260")</f>
        <v>260</v>
      </c>
      <c r="B16" s="3" t="str">
        <f>("208135")</f>
        <v>208135</v>
      </c>
      <c r="C16" s="1" t="s">
        <v>64</v>
      </c>
      <c r="D16" s="1" t="s">
        <v>65</v>
      </c>
      <c r="E16" s="1" t="s">
        <v>6</v>
      </c>
      <c r="F16" s="1" t="s">
        <v>146</v>
      </c>
      <c r="G16" s="6">
        <v>10</v>
      </c>
      <c r="H16" s="6">
        <v>6</v>
      </c>
      <c r="I16" s="6">
        <v>5</v>
      </c>
      <c r="J16" s="6">
        <v>11</v>
      </c>
      <c r="K16" s="6">
        <v>3</v>
      </c>
      <c r="L16" s="6">
        <v>11</v>
      </c>
      <c r="M16" s="6">
        <v>1</v>
      </c>
      <c r="N16" s="6">
        <v>9</v>
      </c>
      <c r="O16" s="6">
        <v>1</v>
      </c>
      <c r="P16" s="6">
        <v>6</v>
      </c>
      <c r="Q16" s="21">
        <v>9</v>
      </c>
      <c r="R16" s="6">
        <v>5</v>
      </c>
      <c r="S16" s="9">
        <f t="shared" si="0"/>
        <v>77</v>
      </c>
      <c r="T16" s="3" t="s">
        <v>225</v>
      </c>
    </row>
    <row r="17" spans="1:21" x14ac:dyDescent="0.25">
      <c r="A17" s="3" t="str">
        <f>("400")</f>
        <v>400</v>
      </c>
      <c r="B17" s="3" t="str">
        <f>("192307")</f>
        <v>192307</v>
      </c>
      <c r="C17" s="1" t="s">
        <v>9</v>
      </c>
      <c r="D17" s="1" t="s">
        <v>10</v>
      </c>
      <c r="E17" s="1" t="s">
        <v>6</v>
      </c>
      <c r="F17" s="22" t="s">
        <v>146</v>
      </c>
      <c r="G17" s="11" t="s">
        <v>213</v>
      </c>
      <c r="H17" s="11" t="s">
        <v>213</v>
      </c>
      <c r="I17" s="11" t="s">
        <v>213</v>
      </c>
      <c r="J17" s="11" t="s">
        <v>213</v>
      </c>
      <c r="K17" s="11" t="s">
        <v>213</v>
      </c>
      <c r="L17" s="11" t="s">
        <v>213</v>
      </c>
      <c r="M17" s="11" t="s">
        <v>213</v>
      </c>
      <c r="N17" s="11" t="s">
        <v>213</v>
      </c>
      <c r="O17" s="11" t="s">
        <v>213</v>
      </c>
      <c r="P17" s="11" t="s">
        <v>213</v>
      </c>
      <c r="Q17" s="11" t="s">
        <v>213</v>
      </c>
      <c r="R17" s="11" t="s">
        <v>213</v>
      </c>
      <c r="S17" s="11" t="s">
        <v>213</v>
      </c>
      <c r="T17" s="11" t="s">
        <v>213</v>
      </c>
      <c r="U17" t="s">
        <v>212</v>
      </c>
    </row>
    <row r="18" spans="1:21" x14ac:dyDescent="0.25">
      <c r="A18" s="3" t="str">
        <f>("451")</f>
        <v>451</v>
      </c>
      <c r="B18" s="3" t="str">
        <f>("130274")</f>
        <v>130274</v>
      </c>
      <c r="C18" s="1" t="s">
        <v>13</v>
      </c>
      <c r="D18" s="1" t="s">
        <v>14</v>
      </c>
      <c r="E18" s="1" t="s">
        <v>6</v>
      </c>
      <c r="F18" s="22" t="s">
        <v>148</v>
      </c>
      <c r="G18" s="11" t="s">
        <v>214</v>
      </c>
      <c r="H18" s="11" t="s">
        <v>214</v>
      </c>
      <c r="I18" s="11" t="s">
        <v>214</v>
      </c>
      <c r="J18" s="11" t="s">
        <v>214</v>
      </c>
      <c r="K18" s="11" t="s">
        <v>214</v>
      </c>
      <c r="L18" s="11" t="s">
        <v>214</v>
      </c>
      <c r="M18" s="11" t="s">
        <v>214</v>
      </c>
      <c r="N18" s="11" t="s">
        <v>214</v>
      </c>
      <c r="O18" s="11" t="s">
        <v>214</v>
      </c>
      <c r="P18" s="11" t="s">
        <v>214</v>
      </c>
      <c r="Q18" s="11" t="s">
        <v>214</v>
      </c>
      <c r="R18" s="11" t="s">
        <v>214</v>
      </c>
      <c r="S18" s="11" t="s">
        <v>214</v>
      </c>
      <c r="T18" s="11" t="s">
        <v>214</v>
      </c>
      <c r="U18" t="s">
        <v>212</v>
      </c>
    </row>
    <row r="19" spans="1:21" ht="15.75" customHeight="1" x14ac:dyDescent="0.25">
      <c r="A19" s="3" t="str">
        <f>("803")</f>
        <v>803</v>
      </c>
      <c r="B19" s="3" t="str">
        <f>("13909")</f>
        <v>13909</v>
      </c>
      <c r="C19" s="1" t="s">
        <v>23</v>
      </c>
      <c r="D19" s="1" t="s">
        <v>24</v>
      </c>
      <c r="E19" s="1" t="s">
        <v>6</v>
      </c>
      <c r="F19" s="22" t="s">
        <v>153</v>
      </c>
      <c r="G19" s="11" t="s">
        <v>214</v>
      </c>
      <c r="H19" s="11" t="s">
        <v>214</v>
      </c>
      <c r="I19" s="11" t="s">
        <v>214</v>
      </c>
      <c r="J19" s="11" t="s">
        <v>214</v>
      </c>
      <c r="K19" s="11" t="s">
        <v>214</v>
      </c>
      <c r="L19" s="11" t="s">
        <v>214</v>
      </c>
      <c r="M19" s="11" t="s">
        <v>214</v>
      </c>
      <c r="N19" s="11" t="s">
        <v>214</v>
      </c>
      <c r="O19" s="11" t="s">
        <v>214</v>
      </c>
      <c r="P19" s="11" t="s">
        <v>214</v>
      </c>
      <c r="Q19" s="11" t="s">
        <v>214</v>
      </c>
      <c r="R19" s="11" t="s">
        <v>214</v>
      </c>
      <c r="S19" s="11" t="s">
        <v>214</v>
      </c>
      <c r="T19" s="11" t="s">
        <v>214</v>
      </c>
      <c r="U19" t="s">
        <v>212</v>
      </c>
    </row>
    <row r="20" spans="1:21" ht="15.75" customHeight="1" x14ac:dyDescent="0.25">
      <c r="A20" s="3"/>
      <c r="B20" s="3"/>
      <c r="C20" s="1"/>
      <c r="D20" s="1"/>
      <c r="E20" s="1"/>
      <c r="F20" s="1"/>
      <c r="G20" s="7"/>
      <c r="H20" s="7"/>
      <c r="I20" s="7"/>
      <c r="J20" s="7"/>
      <c r="K20" s="7"/>
      <c r="L20" s="7"/>
      <c r="M20" s="7"/>
      <c r="N20" s="7"/>
      <c r="O20" s="7"/>
      <c r="P20" s="7"/>
      <c r="Q20" s="16"/>
      <c r="R20" s="7"/>
      <c r="S20" s="7"/>
      <c r="T20" s="7"/>
    </row>
    <row r="21" spans="1:21" x14ac:dyDescent="0.25">
      <c r="A21" s="3" t="str">
        <f>("814")</f>
        <v>814</v>
      </c>
      <c r="B21" s="3" t="str">
        <f>("143690")</f>
        <v>143690</v>
      </c>
      <c r="C21" s="1" t="s">
        <v>17</v>
      </c>
      <c r="D21" s="1" t="s">
        <v>36</v>
      </c>
      <c r="E21" s="1" t="s">
        <v>30</v>
      </c>
      <c r="F21" s="1" t="s">
        <v>155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  <c r="Q21" s="17">
        <v>0</v>
      </c>
      <c r="R21" s="3">
        <v>0</v>
      </c>
      <c r="S21" s="7">
        <f>SUM(G21:R21)</f>
        <v>0</v>
      </c>
      <c r="T21" s="3" t="s">
        <v>217</v>
      </c>
    </row>
    <row r="22" spans="1:21" x14ac:dyDescent="0.25">
      <c r="A22" s="3" t="str">
        <f>("809")</f>
        <v>809</v>
      </c>
      <c r="B22" s="3" t="str">
        <f>("80214")</f>
        <v>80214</v>
      </c>
      <c r="C22" s="1" t="s">
        <v>28</v>
      </c>
      <c r="D22" s="1" t="s">
        <v>29</v>
      </c>
      <c r="E22" s="1" t="s">
        <v>30</v>
      </c>
      <c r="F22" s="1" t="s">
        <v>154</v>
      </c>
      <c r="G22" s="3">
        <v>0</v>
      </c>
      <c r="H22" s="3">
        <v>1</v>
      </c>
      <c r="I22" s="3">
        <v>7</v>
      </c>
      <c r="J22" s="3">
        <v>1</v>
      </c>
      <c r="K22" s="3">
        <v>0</v>
      </c>
      <c r="L22" s="3">
        <v>3</v>
      </c>
      <c r="M22" s="3">
        <v>0</v>
      </c>
      <c r="N22" s="3">
        <v>1</v>
      </c>
      <c r="O22" s="3">
        <v>6</v>
      </c>
      <c r="P22" s="3">
        <v>0</v>
      </c>
      <c r="Q22" s="17">
        <v>1</v>
      </c>
      <c r="R22" s="3">
        <v>1</v>
      </c>
      <c r="S22" s="7">
        <f>SUM(G22:R22)</f>
        <v>21</v>
      </c>
      <c r="T22" s="3" t="s">
        <v>218</v>
      </c>
    </row>
    <row r="23" spans="1:21" x14ac:dyDescent="0.25">
      <c r="A23" s="3" t="str">
        <f>("94")</f>
        <v>94</v>
      </c>
      <c r="B23" s="3" t="str">
        <f>("91094")</f>
        <v>91094</v>
      </c>
      <c r="C23" s="1" t="s">
        <v>4</v>
      </c>
      <c r="D23" s="1" t="s">
        <v>5</v>
      </c>
      <c r="E23" s="1" t="s">
        <v>30</v>
      </c>
      <c r="F23" s="1" t="s">
        <v>144</v>
      </c>
      <c r="G23" s="3">
        <v>1</v>
      </c>
      <c r="H23" s="3">
        <v>1</v>
      </c>
      <c r="I23" s="3">
        <v>6</v>
      </c>
      <c r="J23" s="3">
        <v>0</v>
      </c>
      <c r="K23" s="3">
        <v>5</v>
      </c>
      <c r="L23" s="3">
        <v>1</v>
      </c>
      <c r="M23" s="3">
        <v>10</v>
      </c>
      <c r="N23" s="3">
        <v>1</v>
      </c>
      <c r="O23" s="3">
        <v>1</v>
      </c>
      <c r="P23" s="3">
        <v>1</v>
      </c>
      <c r="Q23" s="17">
        <v>0</v>
      </c>
      <c r="R23" s="3">
        <v>0</v>
      </c>
      <c r="S23" s="7">
        <f>SUM(G23:R23)</f>
        <v>27</v>
      </c>
      <c r="T23" s="3" t="s">
        <v>219</v>
      </c>
    </row>
    <row r="24" spans="1:21" x14ac:dyDescent="0.25">
      <c r="A24" s="3" t="str">
        <f>("815")</f>
        <v>815</v>
      </c>
      <c r="B24" s="3" t="str">
        <f>("131244")</f>
        <v>131244</v>
      </c>
      <c r="C24" s="1" t="s">
        <v>34</v>
      </c>
      <c r="D24" s="1" t="s">
        <v>35</v>
      </c>
      <c r="E24" s="1" t="s">
        <v>30</v>
      </c>
      <c r="F24" s="1" t="s">
        <v>154</v>
      </c>
      <c r="G24" s="3">
        <v>5</v>
      </c>
      <c r="H24" s="3">
        <v>6</v>
      </c>
      <c r="I24" s="3">
        <v>7</v>
      </c>
      <c r="J24" s="3">
        <v>1</v>
      </c>
      <c r="K24" s="3">
        <v>0</v>
      </c>
      <c r="L24" s="3">
        <v>6</v>
      </c>
      <c r="M24" s="3">
        <v>3</v>
      </c>
      <c r="N24" s="3">
        <v>1</v>
      </c>
      <c r="O24" s="3">
        <v>0</v>
      </c>
      <c r="P24" s="3">
        <v>5</v>
      </c>
      <c r="Q24" s="17">
        <v>0</v>
      </c>
      <c r="R24" s="3">
        <v>0</v>
      </c>
      <c r="S24" s="7">
        <f>SUM(G24:R24)</f>
        <v>34</v>
      </c>
      <c r="T24" s="3" t="s">
        <v>220</v>
      </c>
    </row>
    <row r="25" spans="1:21" x14ac:dyDescent="0.25">
      <c r="A25" s="3" t="str">
        <f>("3")</f>
        <v>3</v>
      </c>
      <c r="B25" s="3" t="str">
        <f>("122334")</f>
        <v>122334</v>
      </c>
      <c r="C25" s="1" t="s">
        <v>215</v>
      </c>
      <c r="D25" s="1" t="s">
        <v>33</v>
      </c>
      <c r="E25" s="1" t="s">
        <v>30</v>
      </c>
      <c r="F25" s="1" t="s">
        <v>153</v>
      </c>
      <c r="G25" s="3">
        <v>9</v>
      </c>
      <c r="H25" s="3">
        <v>6</v>
      </c>
      <c r="I25" s="3">
        <v>11</v>
      </c>
      <c r="J25" s="3">
        <v>4</v>
      </c>
      <c r="K25" s="3">
        <v>0</v>
      </c>
      <c r="L25" s="3">
        <v>1</v>
      </c>
      <c r="M25" s="3">
        <v>13</v>
      </c>
      <c r="N25" s="3">
        <v>2</v>
      </c>
      <c r="O25" s="3">
        <v>8</v>
      </c>
      <c r="P25" s="3">
        <v>5</v>
      </c>
      <c r="Q25" s="17">
        <v>0</v>
      </c>
      <c r="R25" s="3">
        <v>0</v>
      </c>
      <c r="S25" s="7">
        <f>SUM(G25:R25)</f>
        <v>59</v>
      </c>
      <c r="T25" s="3" t="s">
        <v>221</v>
      </c>
    </row>
    <row r="26" spans="1:21" x14ac:dyDescent="0.25">
      <c r="A26" s="3" t="str">
        <f>("226")</f>
        <v>226</v>
      </c>
      <c r="B26" s="3" t="str">
        <f>("151165")</f>
        <v>151165</v>
      </c>
      <c r="C26" s="1" t="s">
        <v>31</v>
      </c>
      <c r="D26" s="1" t="s">
        <v>32</v>
      </c>
      <c r="E26" s="1" t="s">
        <v>30</v>
      </c>
      <c r="F26" s="1" t="s">
        <v>150</v>
      </c>
      <c r="G26" s="3" t="s">
        <v>213</v>
      </c>
      <c r="H26" s="3" t="s">
        <v>213</v>
      </c>
      <c r="I26" s="3" t="s">
        <v>213</v>
      </c>
      <c r="J26" s="3" t="s">
        <v>213</v>
      </c>
      <c r="K26" s="3" t="s">
        <v>213</v>
      </c>
      <c r="L26" s="3" t="s">
        <v>213</v>
      </c>
      <c r="M26" s="3" t="s">
        <v>213</v>
      </c>
      <c r="N26" s="3" t="s">
        <v>213</v>
      </c>
      <c r="O26" s="3" t="s">
        <v>213</v>
      </c>
      <c r="P26" s="3" t="s">
        <v>213</v>
      </c>
      <c r="Q26" s="3" t="s">
        <v>213</v>
      </c>
      <c r="R26" s="3" t="s">
        <v>213</v>
      </c>
      <c r="S26" s="3" t="s">
        <v>213</v>
      </c>
      <c r="T26" s="3" t="s">
        <v>213</v>
      </c>
      <c r="U26" t="s">
        <v>212</v>
      </c>
    </row>
    <row r="27" spans="1:21" x14ac:dyDescent="0.25">
      <c r="A27" s="3"/>
      <c r="B27" s="3"/>
      <c r="C27" s="1"/>
      <c r="D27" s="1"/>
      <c r="E27" s="1"/>
      <c r="F27" s="1"/>
      <c r="G27" s="3"/>
      <c r="H27" s="3"/>
      <c r="I27" s="3"/>
      <c r="J27" s="3"/>
      <c r="K27" s="3"/>
      <c r="L27" s="3"/>
      <c r="M27" s="3"/>
      <c r="N27" s="3"/>
      <c r="O27" s="3"/>
      <c r="P27" s="3"/>
      <c r="Q27" s="17"/>
      <c r="R27" s="3"/>
      <c r="S27" s="7"/>
      <c r="T27" s="3"/>
    </row>
    <row r="28" spans="1:21" x14ac:dyDescent="0.25">
      <c r="A28" s="3" t="str">
        <f>("401")</f>
        <v>401</v>
      </c>
      <c r="B28" s="3" t="str">
        <f>("136575")</f>
        <v>136575</v>
      </c>
      <c r="C28" s="1" t="s">
        <v>46</v>
      </c>
      <c r="D28" s="1" t="s">
        <v>47</v>
      </c>
      <c r="E28" s="1" t="s">
        <v>39</v>
      </c>
      <c r="F28" s="1" t="s">
        <v>161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1</v>
      </c>
      <c r="Q28" s="17">
        <v>0</v>
      </c>
      <c r="R28" s="3">
        <v>0</v>
      </c>
      <c r="S28" s="7">
        <f t="shared" ref="S28:S33" si="1">SUM(G28:R28)</f>
        <v>1</v>
      </c>
      <c r="T28" s="3" t="s">
        <v>217</v>
      </c>
    </row>
    <row r="29" spans="1:21" x14ac:dyDescent="0.25">
      <c r="A29" s="3" t="str">
        <f>("11")</f>
        <v>11</v>
      </c>
      <c r="B29" s="3" t="str">
        <f>("186048")</f>
        <v>186048</v>
      </c>
      <c r="C29" s="1" t="s">
        <v>43</v>
      </c>
      <c r="D29" s="1" t="s">
        <v>44</v>
      </c>
      <c r="E29" s="1" t="s">
        <v>39</v>
      </c>
      <c r="F29" s="1" t="s">
        <v>159</v>
      </c>
      <c r="G29" s="3">
        <v>0</v>
      </c>
      <c r="H29" s="3">
        <v>1</v>
      </c>
      <c r="I29" s="3">
        <v>0</v>
      </c>
      <c r="J29" s="3">
        <v>1</v>
      </c>
      <c r="K29" s="3">
        <v>0</v>
      </c>
      <c r="L29" s="3">
        <v>1</v>
      </c>
      <c r="M29" s="3">
        <v>0</v>
      </c>
      <c r="N29" s="3">
        <v>0</v>
      </c>
      <c r="O29" s="3">
        <v>0</v>
      </c>
      <c r="P29" s="3">
        <v>1</v>
      </c>
      <c r="Q29" s="17">
        <v>1</v>
      </c>
      <c r="R29" s="3">
        <v>0</v>
      </c>
      <c r="S29" s="7">
        <f t="shared" si="1"/>
        <v>5</v>
      </c>
      <c r="T29" s="3" t="s">
        <v>218</v>
      </c>
    </row>
    <row r="30" spans="1:21" x14ac:dyDescent="0.25">
      <c r="A30" s="3" t="str">
        <f>("61")</f>
        <v>61</v>
      </c>
      <c r="B30" s="3" t="str">
        <f>("27425")</f>
        <v>27425</v>
      </c>
      <c r="C30" s="1" t="s">
        <v>50</v>
      </c>
      <c r="D30" s="1" t="s">
        <v>51</v>
      </c>
      <c r="E30" s="1" t="s">
        <v>39</v>
      </c>
      <c r="F30" s="1" t="s">
        <v>162</v>
      </c>
      <c r="G30" s="3">
        <v>5</v>
      </c>
      <c r="H30" s="3">
        <v>0</v>
      </c>
      <c r="I30" s="3">
        <v>0</v>
      </c>
      <c r="J30" s="3">
        <v>0</v>
      </c>
      <c r="K30" s="3">
        <v>0</v>
      </c>
      <c r="L30" s="3">
        <v>1</v>
      </c>
      <c r="M30" s="3">
        <v>0</v>
      </c>
      <c r="N30" s="3">
        <v>0</v>
      </c>
      <c r="O30" s="3">
        <v>0</v>
      </c>
      <c r="P30" s="3">
        <v>0</v>
      </c>
      <c r="Q30" s="17">
        <v>0</v>
      </c>
      <c r="R30" s="3">
        <v>0</v>
      </c>
      <c r="S30" s="7">
        <f t="shared" si="1"/>
        <v>6</v>
      </c>
      <c r="T30" s="3" t="s">
        <v>219</v>
      </c>
    </row>
    <row r="31" spans="1:21" x14ac:dyDescent="0.25">
      <c r="A31" s="3" t="str">
        <f>("82")</f>
        <v>82</v>
      </c>
      <c r="B31" s="3" t="str">
        <f>("53285")</f>
        <v>53285</v>
      </c>
      <c r="C31" s="1" t="s">
        <v>216</v>
      </c>
      <c r="D31" s="1" t="s">
        <v>42</v>
      </c>
      <c r="E31" s="1" t="s">
        <v>39</v>
      </c>
      <c r="F31" s="1" t="s">
        <v>158</v>
      </c>
      <c r="G31" s="3">
        <v>5</v>
      </c>
      <c r="H31" s="3">
        <v>6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1</v>
      </c>
      <c r="Q31" s="17">
        <v>0</v>
      </c>
      <c r="R31" s="3">
        <v>1</v>
      </c>
      <c r="S31" s="7">
        <f t="shared" si="1"/>
        <v>13</v>
      </c>
      <c r="T31" s="3" t="s">
        <v>220</v>
      </c>
    </row>
    <row r="32" spans="1:21" x14ac:dyDescent="0.25">
      <c r="A32" s="3" t="str">
        <f>("801")</f>
        <v>801</v>
      </c>
      <c r="B32" s="3" t="str">
        <f>("169666")</f>
        <v>169666</v>
      </c>
      <c r="C32" s="1" t="s">
        <v>48</v>
      </c>
      <c r="D32" s="1" t="s">
        <v>49</v>
      </c>
      <c r="E32" s="1" t="s">
        <v>39</v>
      </c>
      <c r="F32" s="1" t="s">
        <v>154</v>
      </c>
      <c r="G32" s="3">
        <v>0</v>
      </c>
      <c r="H32" s="3">
        <v>9</v>
      </c>
      <c r="I32" s="3">
        <v>3</v>
      </c>
      <c r="J32" s="3">
        <v>0</v>
      </c>
      <c r="K32" s="3">
        <v>0</v>
      </c>
      <c r="L32" s="3">
        <v>5</v>
      </c>
      <c r="M32" s="3">
        <v>3</v>
      </c>
      <c r="N32" s="3">
        <v>2</v>
      </c>
      <c r="O32" s="3">
        <v>0</v>
      </c>
      <c r="P32" s="3">
        <v>0</v>
      </c>
      <c r="Q32" s="17">
        <v>6</v>
      </c>
      <c r="R32" s="3">
        <v>0</v>
      </c>
      <c r="S32" s="7">
        <f t="shared" si="1"/>
        <v>28</v>
      </c>
      <c r="T32" s="3" t="s">
        <v>221</v>
      </c>
    </row>
    <row r="33" spans="1:21" ht="14.25" customHeight="1" x14ac:dyDescent="0.25">
      <c r="A33" s="3" t="str">
        <f>("119")</f>
        <v>119</v>
      </c>
      <c r="B33" s="3" t="str">
        <f>("202844")</f>
        <v>202844</v>
      </c>
      <c r="C33" s="1" t="s">
        <v>40</v>
      </c>
      <c r="D33" s="1" t="s">
        <v>41</v>
      </c>
      <c r="E33" s="1" t="s">
        <v>39</v>
      </c>
      <c r="F33" s="1" t="s">
        <v>157</v>
      </c>
      <c r="G33" s="3">
        <v>6</v>
      </c>
      <c r="H33" s="3">
        <v>8</v>
      </c>
      <c r="I33" s="3">
        <v>8</v>
      </c>
      <c r="J33" s="3">
        <v>8</v>
      </c>
      <c r="K33" s="3">
        <v>5</v>
      </c>
      <c r="L33" s="3">
        <v>6</v>
      </c>
      <c r="M33" s="3">
        <v>15</v>
      </c>
      <c r="N33" s="3">
        <v>1</v>
      </c>
      <c r="O33" s="3">
        <v>7</v>
      </c>
      <c r="P33" s="3">
        <v>8</v>
      </c>
      <c r="Q33" s="17">
        <v>1</v>
      </c>
      <c r="R33" s="3">
        <v>2</v>
      </c>
      <c r="S33" s="7">
        <f t="shared" si="1"/>
        <v>75</v>
      </c>
      <c r="T33" s="3" t="s">
        <v>222</v>
      </c>
    </row>
    <row r="34" spans="1:21" x14ac:dyDescent="0.25">
      <c r="A34" s="3" t="str">
        <f>("114")</f>
        <v>114</v>
      </c>
      <c r="B34" s="3" t="str">
        <f>("53211")</f>
        <v>53211</v>
      </c>
      <c r="C34" s="1" t="s">
        <v>37</v>
      </c>
      <c r="D34" s="1" t="s">
        <v>38</v>
      </c>
      <c r="E34" s="1" t="s">
        <v>39</v>
      </c>
      <c r="F34" s="1" t="s">
        <v>156</v>
      </c>
      <c r="G34" s="3" t="s">
        <v>213</v>
      </c>
      <c r="H34" s="3" t="s">
        <v>213</v>
      </c>
      <c r="I34" s="3" t="s">
        <v>213</v>
      </c>
      <c r="J34" s="3" t="s">
        <v>213</v>
      </c>
      <c r="K34" s="3" t="s">
        <v>213</v>
      </c>
      <c r="L34" s="3" t="s">
        <v>213</v>
      </c>
      <c r="M34" s="3" t="s">
        <v>213</v>
      </c>
      <c r="N34" s="3" t="s">
        <v>213</v>
      </c>
      <c r="O34" s="3" t="s">
        <v>213</v>
      </c>
      <c r="P34" s="3" t="s">
        <v>213</v>
      </c>
      <c r="Q34" s="3" t="s">
        <v>213</v>
      </c>
      <c r="R34" s="3" t="s">
        <v>213</v>
      </c>
      <c r="S34" s="3" t="s">
        <v>213</v>
      </c>
      <c r="T34" s="3" t="s">
        <v>213</v>
      </c>
      <c r="U34" t="s">
        <v>212</v>
      </c>
    </row>
    <row r="35" spans="1:21" x14ac:dyDescent="0.25">
      <c r="A35" s="3" t="str">
        <f>("817")</f>
        <v>817</v>
      </c>
      <c r="B35" s="3" t="str">
        <f>("212707")</f>
        <v>212707</v>
      </c>
      <c r="C35" s="1" t="s">
        <v>7</v>
      </c>
      <c r="D35" s="1" t="s">
        <v>45</v>
      </c>
      <c r="E35" s="1" t="s">
        <v>39</v>
      </c>
      <c r="F35" s="1" t="s">
        <v>160</v>
      </c>
      <c r="G35" s="3" t="s">
        <v>213</v>
      </c>
      <c r="H35" s="3" t="s">
        <v>213</v>
      </c>
      <c r="I35" s="3" t="s">
        <v>213</v>
      </c>
      <c r="J35" s="3" t="s">
        <v>213</v>
      </c>
      <c r="K35" s="3" t="s">
        <v>213</v>
      </c>
      <c r="L35" s="3" t="s">
        <v>213</v>
      </c>
      <c r="M35" s="3" t="s">
        <v>213</v>
      </c>
      <c r="N35" s="3" t="s">
        <v>213</v>
      </c>
      <c r="O35" s="3" t="s">
        <v>213</v>
      </c>
      <c r="P35" s="3" t="s">
        <v>213</v>
      </c>
      <c r="Q35" s="3" t="s">
        <v>213</v>
      </c>
      <c r="R35" s="3" t="s">
        <v>213</v>
      </c>
      <c r="S35" s="3" t="s">
        <v>213</v>
      </c>
      <c r="T35" s="3" t="s">
        <v>213</v>
      </c>
      <c r="U35" t="s">
        <v>212</v>
      </c>
    </row>
    <row r="36" spans="1:21" x14ac:dyDescent="0.25">
      <c r="A36" s="3"/>
      <c r="B36" s="3"/>
      <c r="C36" s="1"/>
      <c r="D36" s="1"/>
      <c r="E36" s="1"/>
      <c r="F36" s="1"/>
      <c r="G36" s="3"/>
      <c r="H36" s="3"/>
      <c r="I36" s="3"/>
      <c r="J36" s="3"/>
      <c r="K36" s="3"/>
      <c r="L36" s="3"/>
      <c r="M36" s="3"/>
      <c r="N36" s="3"/>
      <c r="O36" s="3"/>
      <c r="P36" s="3"/>
      <c r="Q36" s="17"/>
      <c r="R36" s="3"/>
      <c r="S36" s="7"/>
      <c r="T36" s="3"/>
    </row>
    <row r="37" spans="1:21" x14ac:dyDescent="0.25">
      <c r="A37" s="3" t="str">
        <f>("51")</f>
        <v>51</v>
      </c>
      <c r="B37" s="3" t="str">
        <f>("150880")</f>
        <v>150880</v>
      </c>
      <c r="C37" s="1" t="s">
        <v>76</v>
      </c>
      <c r="D37" s="1" t="s">
        <v>55</v>
      </c>
      <c r="E37" s="1" t="s">
        <v>54</v>
      </c>
      <c r="F37" s="1" t="s">
        <v>164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17">
        <v>1</v>
      </c>
      <c r="R37" s="3">
        <v>0</v>
      </c>
      <c r="S37" s="7">
        <f>SUM(G37:R37)</f>
        <v>1</v>
      </c>
      <c r="T37" s="3" t="s">
        <v>217</v>
      </c>
    </row>
    <row r="38" spans="1:21" x14ac:dyDescent="0.25">
      <c r="A38" s="3" t="str">
        <f>("24")</f>
        <v>24</v>
      </c>
      <c r="B38" s="3" t="str">
        <f>("177394")</f>
        <v>177394</v>
      </c>
      <c r="C38" s="1" t="s">
        <v>57</v>
      </c>
      <c r="D38" s="1" t="s">
        <v>58</v>
      </c>
      <c r="E38" s="1" t="s">
        <v>54</v>
      </c>
      <c r="F38" s="1" t="s">
        <v>229</v>
      </c>
      <c r="G38" s="3">
        <v>0</v>
      </c>
      <c r="H38" s="3">
        <v>7</v>
      </c>
      <c r="I38" s="3">
        <v>0</v>
      </c>
      <c r="J38" s="3">
        <v>0</v>
      </c>
      <c r="K38" s="3">
        <v>0</v>
      </c>
      <c r="L38" s="3">
        <v>1</v>
      </c>
      <c r="M38" s="3">
        <v>0</v>
      </c>
      <c r="N38" s="3">
        <v>0</v>
      </c>
      <c r="O38" s="3">
        <v>0</v>
      </c>
      <c r="P38" s="3">
        <v>0</v>
      </c>
      <c r="Q38" s="17">
        <v>1</v>
      </c>
      <c r="R38" s="3">
        <v>0</v>
      </c>
      <c r="S38" s="7">
        <f>SUM(G38:R38)</f>
        <v>9</v>
      </c>
      <c r="T38" s="3" t="s">
        <v>218</v>
      </c>
    </row>
    <row r="39" spans="1:21" x14ac:dyDescent="0.25">
      <c r="A39" s="3" t="str">
        <f>("811")</f>
        <v>811</v>
      </c>
      <c r="B39" s="3" t="str">
        <f>("199578")</f>
        <v>199578</v>
      </c>
      <c r="C39" s="1" t="s">
        <v>52</v>
      </c>
      <c r="D39" s="1" t="s">
        <v>53</v>
      </c>
      <c r="E39" s="1" t="s">
        <v>54</v>
      </c>
      <c r="F39" s="1" t="s">
        <v>163</v>
      </c>
      <c r="G39" s="3">
        <v>0</v>
      </c>
      <c r="H39" s="3">
        <v>10</v>
      </c>
      <c r="I39" s="3">
        <v>0</v>
      </c>
      <c r="J39" s="3">
        <v>0</v>
      </c>
      <c r="K39" s="3">
        <v>0</v>
      </c>
      <c r="L39" s="3">
        <v>6</v>
      </c>
      <c r="M39" s="3">
        <v>0</v>
      </c>
      <c r="N39" s="3">
        <v>3</v>
      </c>
      <c r="O39" s="3">
        <v>0</v>
      </c>
      <c r="P39" s="3">
        <v>1</v>
      </c>
      <c r="Q39" s="17">
        <v>0</v>
      </c>
      <c r="R39" s="3">
        <v>0</v>
      </c>
      <c r="S39" s="7">
        <f>SUM(G39:R39)</f>
        <v>20</v>
      </c>
      <c r="T39" s="3" t="s">
        <v>219</v>
      </c>
    </row>
    <row r="40" spans="1:21" x14ac:dyDescent="0.25">
      <c r="A40" s="3" t="str">
        <f>("126")</f>
        <v>126</v>
      </c>
      <c r="B40" s="3" t="str">
        <f>("85124")</f>
        <v>85124</v>
      </c>
      <c r="C40" s="1" t="s">
        <v>11</v>
      </c>
      <c r="D40" s="1" t="s">
        <v>53</v>
      </c>
      <c r="E40" s="1" t="s">
        <v>54</v>
      </c>
      <c r="F40" s="1" t="s">
        <v>163</v>
      </c>
      <c r="G40" s="3">
        <v>0</v>
      </c>
      <c r="H40" s="3">
        <v>9</v>
      </c>
      <c r="I40" s="3">
        <v>0</v>
      </c>
      <c r="J40" s="3">
        <v>0</v>
      </c>
      <c r="K40" s="3">
        <v>0</v>
      </c>
      <c r="L40" s="3">
        <v>12</v>
      </c>
      <c r="M40" s="3">
        <v>0</v>
      </c>
      <c r="N40" s="3">
        <v>1</v>
      </c>
      <c r="O40" s="3">
        <v>0</v>
      </c>
      <c r="P40" s="3">
        <v>0</v>
      </c>
      <c r="Q40" s="17">
        <v>2</v>
      </c>
      <c r="R40" s="3">
        <v>0</v>
      </c>
      <c r="S40" s="7">
        <f>SUM(G40:R40)</f>
        <v>24</v>
      </c>
      <c r="T40" s="3" t="s">
        <v>220</v>
      </c>
    </row>
    <row r="41" spans="1:21" x14ac:dyDescent="0.25">
      <c r="A41" s="3" t="str">
        <f>("127")</f>
        <v>127</v>
      </c>
      <c r="B41" s="3" t="str">
        <f>("122676")</f>
        <v>122676</v>
      </c>
      <c r="C41" s="1" t="s">
        <v>56</v>
      </c>
      <c r="D41" s="1" t="s">
        <v>53</v>
      </c>
      <c r="E41" s="1" t="s">
        <v>54</v>
      </c>
      <c r="F41" s="1" t="s">
        <v>163</v>
      </c>
      <c r="G41" s="3">
        <v>0</v>
      </c>
      <c r="H41" s="3">
        <v>15</v>
      </c>
      <c r="I41" s="3">
        <v>8</v>
      </c>
      <c r="J41" s="3">
        <v>10</v>
      </c>
      <c r="K41" s="3">
        <v>1</v>
      </c>
      <c r="L41" s="3">
        <v>7</v>
      </c>
      <c r="M41" s="3">
        <v>2</v>
      </c>
      <c r="N41" s="3">
        <v>1</v>
      </c>
      <c r="O41" s="3">
        <v>1</v>
      </c>
      <c r="P41" s="3">
        <v>0</v>
      </c>
      <c r="Q41" s="17">
        <v>6</v>
      </c>
      <c r="R41" s="3">
        <v>1</v>
      </c>
      <c r="S41" s="7">
        <f>SUM(G41:R41)</f>
        <v>52</v>
      </c>
      <c r="T41" s="3" t="s">
        <v>221</v>
      </c>
    </row>
    <row r="42" spans="1:21" x14ac:dyDescent="0.25">
      <c r="A42" s="3"/>
      <c r="B42" s="3"/>
      <c r="C42" s="1"/>
      <c r="D42" s="1"/>
      <c r="E42" s="1"/>
      <c r="F42" s="1"/>
      <c r="G42" s="3"/>
      <c r="H42" s="3"/>
      <c r="I42" s="3"/>
      <c r="J42" s="3"/>
      <c r="K42" s="3"/>
      <c r="L42" s="3"/>
      <c r="M42" s="3"/>
      <c r="N42" s="3"/>
      <c r="O42" s="3"/>
      <c r="P42" s="3"/>
      <c r="Q42" s="17"/>
      <c r="R42" s="3"/>
      <c r="S42" s="7"/>
      <c r="T42" s="3"/>
    </row>
    <row r="43" spans="1:21" x14ac:dyDescent="0.25">
      <c r="A43" s="3" t="str">
        <f>("45")</f>
        <v>45</v>
      </c>
      <c r="B43" s="3" t="str">
        <f>("12434")</f>
        <v>12434</v>
      </c>
      <c r="C43" s="1" t="s">
        <v>9</v>
      </c>
      <c r="D43" s="1" t="s">
        <v>69</v>
      </c>
      <c r="E43" s="1" t="s">
        <v>61</v>
      </c>
      <c r="F43" s="1" t="s">
        <v>155</v>
      </c>
      <c r="G43" s="3">
        <v>2</v>
      </c>
      <c r="H43" s="3">
        <v>0</v>
      </c>
      <c r="I43" s="3">
        <v>0</v>
      </c>
      <c r="J43" s="3">
        <v>0</v>
      </c>
      <c r="K43" s="3">
        <v>0</v>
      </c>
      <c r="L43" s="3">
        <v>1</v>
      </c>
      <c r="M43" s="3">
        <v>0</v>
      </c>
      <c r="N43" s="3">
        <v>0</v>
      </c>
      <c r="O43" s="3">
        <v>3</v>
      </c>
      <c r="P43" s="3">
        <v>0</v>
      </c>
      <c r="Q43" s="17">
        <v>0</v>
      </c>
      <c r="R43" s="3">
        <v>0</v>
      </c>
      <c r="S43" s="7">
        <f>SUM(G43:R43)</f>
        <v>6</v>
      </c>
      <c r="T43" s="3" t="s">
        <v>217</v>
      </c>
    </row>
    <row r="44" spans="1:21" x14ac:dyDescent="0.25">
      <c r="A44" s="3" t="str">
        <f>("138")</f>
        <v>138</v>
      </c>
      <c r="B44" s="3" t="str">
        <f>("181014")</f>
        <v>181014</v>
      </c>
      <c r="C44" s="1" t="s">
        <v>23</v>
      </c>
      <c r="D44" s="1" t="s">
        <v>62</v>
      </c>
      <c r="E44" s="1" t="s">
        <v>61</v>
      </c>
      <c r="F44" s="1" t="s">
        <v>165</v>
      </c>
      <c r="G44" s="3">
        <v>2</v>
      </c>
      <c r="H44" s="3">
        <v>1</v>
      </c>
      <c r="I44" s="3">
        <v>0</v>
      </c>
      <c r="J44" s="3">
        <v>1</v>
      </c>
      <c r="K44" s="3">
        <v>0</v>
      </c>
      <c r="L44" s="3">
        <v>1</v>
      </c>
      <c r="M44" s="3">
        <v>0</v>
      </c>
      <c r="N44" s="3">
        <v>2</v>
      </c>
      <c r="O44" s="3">
        <v>3</v>
      </c>
      <c r="P44" s="3">
        <v>1</v>
      </c>
      <c r="Q44" s="17">
        <v>0</v>
      </c>
      <c r="R44" s="3">
        <v>0</v>
      </c>
      <c r="S44" s="7">
        <f>SUM(G44:R44)</f>
        <v>11</v>
      </c>
      <c r="T44" s="3" t="s">
        <v>218</v>
      </c>
    </row>
    <row r="45" spans="1:21" x14ac:dyDescent="0.25">
      <c r="A45" s="3" t="str">
        <f>("166")</f>
        <v>166</v>
      </c>
      <c r="B45" s="3" t="str">
        <f>("208894")</f>
        <v>208894</v>
      </c>
      <c r="C45" s="1" t="s">
        <v>59</v>
      </c>
      <c r="D45" s="1" t="s">
        <v>60</v>
      </c>
      <c r="E45" s="1" t="s">
        <v>61</v>
      </c>
      <c r="F45" s="1" t="s">
        <v>146</v>
      </c>
      <c r="G45" s="3">
        <v>5</v>
      </c>
      <c r="H45" s="3">
        <v>2</v>
      </c>
      <c r="I45" s="3">
        <v>1</v>
      </c>
      <c r="J45" s="3">
        <v>0</v>
      </c>
      <c r="K45" s="3">
        <v>1</v>
      </c>
      <c r="L45" s="3">
        <v>0</v>
      </c>
      <c r="M45" s="3">
        <v>0</v>
      </c>
      <c r="N45" s="3">
        <v>7</v>
      </c>
      <c r="O45" s="3">
        <v>7</v>
      </c>
      <c r="P45" s="3">
        <v>0</v>
      </c>
      <c r="Q45" s="17">
        <v>0</v>
      </c>
      <c r="R45" s="3"/>
      <c r="S45" s="7">
        <f>SUM(G45:R45)</f>
        <v>23</v>
      </c>
      <c r="T45" s="3" t="s">
        <v>219</v>
      </c>
    </row>
    <row r="46" spans="1:21" x14ac:dyDescent="0.25">
      <c r="A46" s="3" t="str">
        <f>("69")</f>
        <v>69</v>
      </c>
      <c r="B46" s="3" t="str">
        <f>("181642")</f>
        <v>181642</v>
      </c>
      <c r="C46" s="1" t="s">
        <v>17</v>
      </c>
      <c r="D46" s="1" t="s">
        <v>63</v>
      </c>
      <c r="E46" s="1" t="s">
        <v>61</v>
      </c>
      <c r="F46" s="1" t="s">
        <v>145</v>
      </c>
      <c r="G46" s="3">
        <v>9</v>
      </c>
      <c r="H46" s="3">
        <v>0</v>
      </c>
      <c r="I46" s="3">
        <v>2</v>
      </c>
      <c r="J46" s="3">
        <v>0</v>
      </c>
      <c r="K46" s="3">
        <v>0</v>
      </c>
      <c r="L46" s="3">
        <v>6</v>
      </c>
      <c r="M46" s="3">
        <v>0</v>
      </c>
      <c r="N46" s="3">
        <v>1</v>
      </c>
      <c r="O46" s="3">
        <v>2</v>
      </c>
      <c r="P46" s="3">
        <v>8</v>
      </c>
      <c r="Q46" s="17">
        <v>0</v>
      </c>
      <c r="R46" s="3">
        <v>0</v>
      </c>
      <c r="S46" s="7">
        <f>SUM(G46:R46)</f>
        <v>28</v>
      </c>
      <c r="T46" s="3" t="s">
        <v>220</v>
      </c>
    </row>
    <row r="47" spans="1:21" x14ac:dyDescent="0.25">
      <c r="A47" s="3" t="str">
        <f>("179")</f>
        <v>179</v>
      </c>
      <c r="B47" s="3" t="str">
        <f>("208893")</f>
        <v>208893</v>
      </c>
      <c r="C47" s="1" t="s">
        <v>68</v>
      </c>
      <c r="D47" s="1" t="s">
        <v>60</v>
      </c>
      <c r="E47" s="1" t="s">
        <v>61</v>
      </c>
      <c r="F47" s="1" t="s">
        <v>150</v>
      </c>
      <c r="G47" s="3">
        <v>15</v>
      </c>
      <c r="H47" s="3">
        <v>10</v>
      </c>
      <c r="I47" s="3">
        <v>6</v>
      </c>
      <c r="J47" s="3">
        <v>5</v>
      </c>
      <c r="K47" s="3">
        <v>4</v>
      </c>
      <c r="L47" s="3">
        <v>5</v>
      </c>
      <c r="M47" s="3">
        <v>6</v>
      </c>
      <c r="N47" s="3">
        <v>5</v>
      </c>
      <c r="O47" s="3">
        <v>11</v>
      </c>
      <c r="P47" s="3">
        <v>13</v>
      </c>
      <c r="Q47" s="17">
        <v>0</v>
      </c>
      <c r="R47" s="3">
        <v>8</v>
      </c>
      <c r="S47" s="7">
        <f>SUM(G47:R47)</f>
        <v>88</v>
      </c>
      <c r="T47" s="3" t="s">
        <v>221</v>
      </c>
    </row>
    <row r="48" spans="1:21" x14ac:dyDescent="0.25">
      <c r="A48" s="3" t="str">
        <f>("818")</f>
        <v>818</v>
      </c>
      <c r="B48" s="3" t="str">
        <f>("204798")</f>
        <v>204798</v>
      </c>
      <c r="C48" s="1" t="s">
        <v>66</v>
      </c>
      <c r="D48" s="1" t="s">
        <v>67</v>
      </c>
      <c r="E48" s="1" t="s">
        <v>61</v>
      </c>
      <c r="F48" s="1" t="s">
        <v>166</v>
      </c>
      <c r="G48" s="3" t="s">
        <v>213</v>
      </c>
      <c r="H48" s="3" t="s">
        <v>213</v>
      </c>
      <c r="I48" s="3" t="s">
        <v>213</v>
      </c>
      <c r="J48" s="3" t="s">
        <v>213</v>
      </c>
      <c r="K48" s="3" t="s">
        <v>213</v>
      </c>
      <c r="L48" s="3" t="s">
        <v>213</v>
      </c>
      <c r="M48" s="3" t="s">
        <v>213</v>
      </c>
      <c r="N48" s="3" t="s">
        <v>213</v>
      </c>
      <c r="O48" s="3" t="s">
        <v>213</v>
      </c>
      <c r="P48" s="3" t="s">
        <v>213</v>
      </c>
      <c r="Q48" s="3" t="s">
        <v>213</v>
      </c>
      <c r="R48" s="3" t="s">
        <v>213</v>
      </c>
      <c r="S48" s="3" t="s">
        <v>213</v>
      </c>
      <c r="T48" s="3" t="s">
        <v>213</v>
      </c>
      <c r="U48" t="s">
        <v>212</v>
      </c>
    </row>
    <row r="49" spans="1:20" x14ac:dyDescent="0.25">
      <c r="A49" s="3"/>
      <c r="B49" s="3"/>
      <c r="C49" s="1"/>
      <c r="D49" s="1"/>
      <c r="E49" s="1"/>
      <c r="F49" s="1"/>
      <c r="G49" s="3"/>
      <c r="H49" s="3"/>
      <c r="I49" s="3"/>
      <c r="J49" s="3"/>
      <c r="K49" s="3"/>
      <c r="L49" s="3"/>
      <c r="M49" s="3"/>
      <c r="N49" s="3"/>
      <c r="O49" s="3"/>
      <c r="P49" s="3"/>
      <c r="Q49" s="17"/>
      <c r="R49" s="3"/>
      <c r="S49" s="7"/>
      <c r="T49" s="3"/>
    </row>
    <row r="50" spans="1:20" x14ac:dyDescent="0.25">
      <c r="A50" s="3" t="str">
        <f>("805")</f>
        <v>805</v>
      </c>
      <c r="B50" s="3" t="str">
        <f>("151017")</f>
        <v>151017</v>
      </c>
      <c r="C50" s="1" t="s">
        <v>70</v>
      </c>
      <c r="D50" s="1" t="s">
        <v>71</v>
      </c>
      <c r="E50" s="1" t="s">
        <v>72</v>
      </c>
      <c r="F50" s="1" t="s">
        <v>167</v>
      </c>
      <c r="G50" s="3">
        <v>11</v>
      </c>
      <c r="H50" s="3">
        <v>0</v>
      </c>
      <c r="I50" s="3">
        <v>9</v>
      </c>
      <c r="J50" s="3">
        <v>3</v>
      </c>
      <c r="K50" s="3">
        <v>0</v>
      </c>
      <c r="L50" s="3">
        <v>5</v>
      </c>
      <c r="M50" s="3">
        <v>5</v>
      </c>
      <c r="N50" s="3">
        <v>0</v>
      </c>
      <c r="O50" s="3">
        <v>10</v>
      </c>
      <c r="P50" s="3">
        <v>8</v>
      </c>
      <c r="Q50" s="17">
        <v>0</v>
      </c>
      <c r="R50" s="3">
        <v>1</v>
      </c>
      <c r="S50" s="7">
        <f>SUM(G50:R50)</f>
        <v>52</v>
      </c>
      <c r="T50" s="3" t="s">
        <v>217</v>
      </c>
    </row>
    <row r="51" spans="1:20" x14ac:dyDescent="0.25">
      <c r="A51" s="3"/>
      <c r="B51" s="3"/>
      <c r="C51" s="1"/>
      <c r="D51" s="1"/>
      <c r="E51" s="1"/>
      <c r="F51" s="1"/>
      <c r="G51" s="3"/>
      <c r="H51" s="3"/>
      <c r="I51" s="3"/>
      <c r="J51" s="3"/>
      <c r="K51" s="3"/>
      <c r="L51" s="3"/>
      <c r="M51" s="3"/>
      <c r="N51" s="3"/>
      <c r="O51" s="3"/>
      <c r="P51" s="3"/>
      <c r="Q51" s="17"/>
      <c r="R51" s="3"/>
      <c r="S51" s="7"/>
      <c r="T51" s="3"/>
    </row>
    <row r="52" spans="1:20" x14ac:dyDescent="0.25">
      <c r="A52" s="3" t="str">
        <f>("821")</f>
        <v>821</v>
      </c>
      <c r="B52" s="3" t="str">
        <f>("207712")</f>
        <v>207712</v>
      </c>
      <c r="C52" s="1" t="s">
        <v>76</v>
      </c>
      <c r="D52" s="1" t="s">
        <v>77</v>
      </c>
      <c r="E52" s="1" t="s">
        <v>75</v>
      </c>
      <c r="F52" s="1" t="s">
        <v>167</v>
      </c>
      <c r="G52" s="3">
        <v>0</v>
      </c>
      <c r="H52" s="3">
        <v>3</v>
      </c>
      <c r="I52" s="3">
        <v>0</v>
      </c>
      <c r="J52" s="3">
        <v>0</v>
      </c>
      <c r="K52" s="3">
        <v>0</v>
      </c>
      <c r="L52" s="3">
        <v>0</v>
      </c>
      <c r="M52" s="3">
        <v>5</v>
      </c>
      <c r="N52" s="3">
        <v>0</v>
      </c>
      <c r="O52" s="3">
        <v>0</v>
      </c>
      <c r="P52" s="3">
        <v>0</v>
      </c>
      <c r="Q52" s="17">
        <v>0</v>
      </c>
      <c r="R52" s="3">
        <v>0</v>
      </c>
      <c r="S52" s="7">
        <f>SUM(G52:R52)</f>
        <v>8</v>
      </c>
      <c r="T52" s="3" t="s">
        <v>217</v>
      </c>
    </row>
    <row r="53" spans="1:20" x14ac:dyDescent="0.25">
      <c r="A53" s="3" t="str">
        <f>("441")</f>
        <v>441</v>
      </c>
      <c r="B53" s="3" t="str">
        <f>("124853")</f>
        <v>124853</v>
      </c>
      <c r="C53" s="1" t="s">
        <v>50</v>
      </c>
      <c r="D53" s="1" t="s">
        <v>78</v>
      </c>
      <c r="E53" s="1" t="s">
        <v>75</v>
      </c>
      <c r="F53" s="1" t="s">
        <v>168</v>
      </c>
      <c r="G53" s="3">
        <v>0</v>
      </c>
      <c r="H53" s="3">
        <v>1</v>
      </c>
      <c r="I53" s="3">
        <v>0</v>
      </c>
      <c r="J53" s="3">
        <v>0</v>
      </c>
      <c r="K53" s="3">
        <v>0</v>
      </c>
      <c r="L53" s="3">
        <v>1</v>
      </c>
      <c r="M53" s="3">
        <v>0</v>
      </c>
      <c r="N53" s="3">
        <v>1</v>
      </c>
      <c r="O53" s="3">
        <v>0</v>
      </c>
      <c r="P53" s="3">
        <v>6</v>
      </c>
      <c r="Q53" s="17">
        <v>2</v>
      </c>
      <c r="R53" s="3">
        <v>1</v>
      </c>
      <c r="S53" s="7">
        <f>SUM(G53:R53)</f>
        <v>12</v>
      </c>
      <c r="T53" s="3" t="s">
        <v>218</v>
      </c>
    </row>
    <row r="54" spans="1:20" x14ac:dyDescent="0.25">
      <c r="A54" s="3" t="str">
        <f>("157")</f>
        <v>157</v>
      </c>
      <c r="B54" s="3" t="str">
        <f>("89636")</f>
        <v>89636</v>
      </c>
      <c r="C54" s="1" t="s">
        <v>73</v>
      </c>
      <c r="D54" s="1" t="s">
        <v>74</v>
      </c>
      <c r="E54" s="1" t="s">
        <v>75</v>
      </c>
      <c r="F54" s="1" t="s">
        <v>167</v>
      </c>
      <c r="G54" s="3">
        <v>0</v>
      </c>
      <c r="H54" s="3">
        <v>11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17">
        <v>2</v>
      </c>
      <c r="R54" s="3">
        <v>0</v>
      </c>
      <c r="S54" s="7">
        <f>SUM(G54:R54)</f>
        <v>13</v>
      </c>
      <c r="T54" s="3" t="s">
        <v>219</v>
      </c>
    </row>
    <row r="55" spans="1:20" x14ac:dyDescent="0.25">
      <c r="A55" s="3" t="str">
        <f>("808")</f>
        <v>808</v>
      </c>
      <c r="B55" s="3" t="str">
        <f>("144413")</f>
        <v>144413</v>
      </c>
      <c r="C55" s="1" t="s">
        <v>79</v>
      </c>
      <c r="D55" s="1" t="s">
        <v>80</v>
      </c>
      <c r="E55" s="1" t="s">
        <v>75</v>
      </c>
      <c r="F55" s="1" t="s">
        <v>169</v>
      </c>
      <c r="G55" s="3">
        <v>0</v>
      </c>
      <c r="H55" s="3">
        <v>9</v>
      </c>
      <c r="I55" s="3">
        <v>0</v>
      </c>
      <c r="J55" s="3">
        <v>4</v>
      </c>
      <c r="K55" s="3">
        <v>0</v>
      </c>
      <c r="L55" s="3">
        <v>6</v>
      </c>
      <c r="M55" s="3">
        <v>1</v>
      </c>
      <c r="N55" s="3">
        <v>6</v>
      </c>
      <c r="O55" s="3">
        <v>0</v>
      </c>
      <c r="P55" s="3">
        <v>2</v>
      </c>
      <c r="Q55" s="17">
        <v>1</v>
      </c>
      <c r="R55" s="3">
        <v>2</v>
      </c>
      <c r="S55" s="7">
        <f>SUM(G55:R55)</f>
        <v>31</v>
      </c>
      <c r="T55" s="3" t="s">
        <v>220</v>
      </c>
    </row>
    <row r="56" spans="1:20" x14ac:dyDescent="0.25">
      <c r="A56" s="3"/>
      <c r="B56" s="3"/>
      <c r="C56" s="1"/>
      <c r="D56" s="1"/>
      <c r="E56" s="1"/>
      <c r="F56" s="1"/>
      <c r="G56" s="3"/>
      <c r="H56" s="3"/>
      <c r="I56" s="3"/>
      <c r="J56" s="3"/>
      <c r="K56" s="3"/>
      <c r="L56" s="3"/>
      <c r="M56" s="3"/>
      <c r="N56" s="3"/>
      <c r="O56" s="3"/>
      <c r="P56" s="3"/>
      <c r="Q56" s="17"/>
      <c r="R56" s="3"/>
      <c r="S56" s="7"/>
      <c r="T56" s="3"/>
    </row>
    <row r="57" spans="1:20" x14ac:dyDescent="0.25">
      <c r="A57" s="3" t="str">
        <f>("83")</f>
        <v>83</v>
      </c>
      <c r="B57" s="3" t="str">
        <f>("166177")</f>
        <v>166177</v>
      </c>
      <c r="C57" s="1" t="s">
        <v>98</v>
      </c>
      <c r="D57" s="1" t="s">
        <v>99</v>
      </c>
      <c r="E57" s="1" t="s">
        <v>82</v>
      </c>
      <c r="F57" s="1" t="s">
        <v>180</v>
      </c>
      <c r="G57" s="3">
        <v>5</v>
      </c>
      <c r="H57" s="3">
        <v>0</v>
      </c>
      <c r="I57" s="3">
        <v>0</v>
      </c>
      <c r="J57" s="3">
        <v>1</v>
      </c>
      <c r="K57" s="3">
        <v>1</v>
      </c>
      <c r="L57" s="3">
        <v>2</v>
      </c>
      <c r="M57" s="3">
        <v>0</v>
      </c>
      <c r="N57" s="3">
        <v>0</v>
      </c>
      <c r="O57" s="3">
        <v>0</v>
      </c>
      <c r="P57" s="3">
        <v>0</v>
      </c>
      <c r="Q57" s="17">
        <v>0</v>
      </c>
      <c r="R57" s="3">
        <v>0</v>
      </c>
      <c r="S57" s="7">
        <f t="shared" ref="S57:S67" si="2">SUM(G57:R57)</f>
        <v>9</v>
      </c>
      <c r="T57" s="3" t="s">
        <v>217</v>
      </c>
    </row>
    <row r="58" spans="1:20" x14ac:dyDescent="0.25">
      <c r="A58" s="3" t="str">
        <f>("802")</f>
        <v>802</v>
      </c>
      <c r="B58" s="3" t="str">
        <f>("164721")</f>
        <v>164721</v>
      </c>
      <c r="C58" s="1" t="s">
        <v>95</v>
      </c>
      <c r="D58" s="1" t="s">
        <v>96</v>
      </c>
      <c r="E58" s="1" t="s">
        <v>82</v>
      </c>
      <c r="F58" s="1" t="s">
        <v>178</v>
      </c>
      <c r="G58" s="3">
        <v>2</v>
      </c>
      <c r="H58" s="3">
        <v>4</v>
      </c>
      <c r="I58" s="3">
        <v>1</v>
      </c>
      <c r="J58" s="3">
        <v>0</v>
      </c>
      <c r="K58" s="3">
        <v>0</v>
      </c>
      <c r="L58" s="3">
        <v>2</v>
      </c>
      <c r="M58" s="3">
        <v>0</v>
      </c>
      <c r="N58" s="3">
        <v>0</v>
      </c>
      <c r="O58" s="3">
        <v>2</v>
      </c>
      <c r="P58" s="3">
        <v>0</v>
      </c>
      <c r="Q58" s="17">
        <v>0</v>
      </c>
      <c r="R58" s="3">
        <v>0</v>
      </c>
      <c r="S58" s="7">
        <f t="shared" si="2"/>
        <v>11</v>
      </c>
      <c r="T58" s="3" t="s">
        <v>218</v>
      </c>
    </row>
    <row r="59" spans="1:20" x14ac:dyDescent="0.25">
      <c r="A59" s="3" t="str">
        <f>("63")</f>
        <v>63</v>
      </c>
      <c r="B59" s="3" t="str">
        <f>("185750")</f>
        <v>185750</v>
      </c>
      <c r="C59" s="1" t="s">
        <v>90</v>
      </c>
      <c r="D59" s="1" t="s">
        <v>91</v>
      </c>
      <c r="E59" s="1" t="s">
        <v>82</v>
      </c>
      <c r="F59" s="1" t="s">
        <v>175</v>
      </c>
      <c r="G59" s="3">
        <v>2</v>
      </c>
      <c r="H59" s="3">
        <v>1</v>
      </c>
      <c r="I59" s="3">
        <v>1</v>
      </c>
      <c r="J59" s="3">
        <v>0</v>
      </c>
      <c r="K59" s="3">
        <v>1</v>
      </c>
      <c r="L59" s="3">
        <v>3</v>
      </c>
      <c r="M59" s="3">
        <v>1</v>
      </c>
      <c r="N59" s="3">
        <v>0</v>
      </c>
      <c r="O59" s="3">
        <v>2</v>
      </c>
      <c r="P59" s="3">
        <v>0</v>
      </c>
      <c r="Q59" s="17">
        <v>0</v>
      </c>
      <c r="R59" s="3">
        <v>2</v>
      </c>
      <c r="S59" s="7">
        <f t="shared" si="2"/>
        <v>13</v>
      </c>
      <c r="T59" s="3" t="s">
        <v>219</v>
      </c>
    </row>
    <row r="60" spans="1:20" x14ac:dyDescent="0.25">
      <c r="A60" s="3" t="str">
        <f>("210")</f>
        <v>210</v>
      </c>
      <c r="B60" s="3" t="str">
        <f>("47137")</f>
        <v>47137</v>
      </c>
      <c r="C60" s="1" t="s">
        <v>87</v>
      </c>
      <c r="D60" s="1" t="s">
        <v>88</v>
      </c>
      <c r="E60" s="1" t="s">
        <v>82</v>
      </c>
      <c r="F60" s="1" t="s">
        <v>144</v>
      </c>
      <c r="G60" s="3">
        <v>7</v>
      </c>
      <c r="H60" s="3">
        <v>0</v>
      </c>
      <c r="I60" s="3">
        <v>0</v>
      </c>
      <c r="J60" s="3">
        <v>0</v>
      </c>
      <c r="K60" s="3">
        <v>0</v>
      </c>
      <c r="L60" s="3">
        <v>2</v>
      </c>
      <c r="M60" s="3">
        <v>5</v>
      </c>
      <c r="N60" s="3">
        <v>0</v>
      </c>
      <c r="O60" s="3">
        <v>3</v>
      </c>
      <c r="P60" s="3">
        <v>5</v>
      </c>
      <c r="Q60" s="17">
        <v>0</v>
      </c>
      <c r="R60" s="3">
        <v>0</v>
      </c>
      <c r="S60" s="7">
        <f t="shared" si="2"/>
        <v>22</v>
      </c>
      <c r="T60" s="3" t="s">
        <v>220</v>
      </c>
    </row>
    <row r="61" spans="1:20" x14ac:dyDescent="0.25">
      <c r="A61" s="3" t="str">
        <f>("42")</f>
        <v>42</v>
      </c>
      <c r="B61" s="3" t="str">
        <f>("14046")</f>
        <v>14046</v>
      </c>
      <c r="C61" s="1" t="s">
        <v>84</v>
      </c>
      <c r="D61" s="1" t="s">
        <v>85</v>
      </c>
      <c r="E61" s="1" t="s">
        <v>82</v>
      </c>
      <c r="F61" s="1" t="s">
        <v>172</v>
      </c>
      <c r="G61" s="3">
        <v>2</v>
      </c>
      <c r="H61" s="3">
        <v>1</v>
      </c>
      <c r="I61" s="3">
        <v>5</v>
      </c>
      <c r="J61" s="3">
        <v>0</v>
      </c>
      <c r="K61" s="3">
        <v>0</v>
      </c>
      <c r="L61" s="3">
        <v>2</v>
      </c>
      <c r="M61" s="3">
        <v>1</v>
      </c>
      <c r="N61" s="3">
        <v>6</v>
      </c>
      <c r="O61" s="3">
        <v>4</v>
      </c>
      <c r="P61" s="3">
        <v>7</v>
      </c>
      <c r="Q61" s="17">
        <v>2</v>
      </c>
      <c r="R61" s="3">
        <v>0</v>
      </c>
      <c r="S61" s="7">
        <f t="shared" si="2"/>
        <v>30</v>
      </c>
      <c r="T61" s="3" t="s">
        <v>221</v>
      </c>
    </row>
    <row r="62" spans="1:20" x14ac:dyDescent="0.25">
      <c r="A62" s="3" t="str">
        <f>("57")</f>
        <v>57</v>
      </c>
      <c r="B62" s="3" t="str">
        <f>("121323")</f>
        <v>121323</v>
      </c>
      <c r="C62" s="1" t="s">
        <v>226</v>
      </c>
      <c r="D62" s="1" t="s">
        <v>89</v>
      </c>
      <c r="E62" s="1" t="s">
        <v>82</v>
      </c>
      <c r="F62" s="1" t="s">
        <v>174</v>
      </c>
      <c r="G62" s="3">
        <v>6</v>
      </c>
      <c r="H62" s="3">
        <v>0</v>
      </c>
      <c r="I62" s="3">
        <v>0</v>
      </c>
      <c r="J62" s="3">
        <v>1</v>
      </c>
      <c r="K62" s="3">
        <v>5</v>
      </c>
      <c r="L62" s="3">
        <v>4</v>
      </c>
      <c r="M62" s="3">
        <v>1</v>
      </c>
      <c r="N62" s="3">
        <v>5</v>
      </c>
      <c r="O62" s="3">
        <v>0</v>
      </c>
      <c r="P62" s="3">
        <v>9</v>
      </c>
      <c r="Q62" s="17">
        <v>0</v>
      </c>
      <c r="R62" s="3">
        <v>0</v>
      </c>
      <c r="S62" s="7">
        <f t="shared" si="2"/>
        <v>31</v>
      </c>
      <c r="T62" s="3" t="s">
        <v>222</v>
      </c>
    </row>
    <row r="63" spans="1:20" x14ac:dyDescent="0.25">
      <c r="A63" s="3" t="str">
        <f>("35")</f>
        <v>35</v>
      </c>
      <c r="B63" s="3" t="str">
        <f>("148401")</f>
        <v>148401</v>
      </c>
      <c r="C63" s="1" t="s">
        <v>103</v>
      </c>
      <c r="D63" s="1" t="s">
        <v>104</v>
      </c>
      <c r="E63" s="1" t="s">
        <v>82</v>
      </c>
      <c r="F63" s="1" t="s">
        <v>159</v>
      </c>
      <c r="G63" s="3">
        <v>3</v>
      </c>
      <c r="H63" s="3">
        <v>1</v>
      </c>
      <c r="I63" s="3">
        <v>0</v>
      </c>
      <c r="J63" s="3">
        <v>0</v>
      </c>
      <c r="K63" s="3">
        <v>0</v>
      </c>
      <c r="L63" s="3">
        <v>6</v>
      </c>
      <c r="M63" s="3">
        <v>10</v>
      </c>
      <c r="N63" s="3">
        <v>0</v>
      </c>
      <c r="O63" s="3">
        <v>6</v>
      </c>
      <c r="P63" s="3">
        <v>5</v>
      </c>
      <c r="Q63" s="17">
        <v>1</v>
      </c>
      <c r="R63" s="3">
        <v>0</v>
      </c>
      <c r="S63" s="7">
        <f t="shared" si="2"/>
        <v>32</v>
      </c>
      <c r="T63" s="3" t="s">
        <v>223</v>
      </c>
    </row>
    <row r="64" spans="1:20" x14ac:dyDescent="0.25">
      <c r="A64" s="3" t="str">
        <f>("911")</f>
        <v>911</v>
      </c>
      <c r="B64" s="3" t="str">
        <f>("149118")</f>
        <v>149118</v>
      </c>
      <c r="C64" s="1" t="s">
        <v>100</v>
      </c>
      <c r="D64" s="1" t="s">
        <v>101</v>
      </c>
      <c r="E64" s="1" t="s">
        <v>82</v>
      </c>
      <c r="F64" s="1" t="s">
        <v>181</v>
      </c>
      <c r="G64" s="3">
        <v>5</v>
      </c>
      <c r="H64" s="3">
        <v>3</v>
      </c>
      <c r="I64" s="3">
        <v>2</v>
      </c>
      <c r="J64" s="3">
        <v>0</v>
      </c>
      <c r="K64" s="3">
        <v>0</v>
      </c>
      <c r="L64" s="3">
        <v>6</v>
      </c>
      <c r="M64" s="3">
        <v>5</v>
      </c>
      <c r="N64" s="3">
        <v>1</v>
      </c>
      <c r="O64" s="3">
        <v>7</v>
      </c>
      <c r="P64" s="3">
        <v>11</v>
      </c>
      <c r="Q64" s="17">
        <v>5</v>
      </c>
      <c r="R64" s="3">
        <v>0</v>
      </c>
      <c r="S64" s="7">
        <f t="shared" si="2"/>
        <v>45</v>
      </c>
      <c r="T64" s="3" t="s">
        <v>224</v>
      </c>
    </row>
    <row r="65" spans="1:21" x14ac:dyDescent="0.25">
      <c r="A65" s="3" t="str">
        <f>("804")</f>
        <v>804</v>
      </c>
      <c r="B65" s="3" t="str">
        <f>("135549")</f>
        <v>135549</v>
      </c>
      <c r="C65" s="1" t="s">
        <v>23</v>
      </c>
      <c r="D65" s="1" t="s">
        <v>102</v>
      </c>
      <c r="E65" s="1" t="s">
        <v>82</v>
      </c>
      <c r="F65" s="1" t="s">
        <v>178</v>
      </c>
      <c r="G65" s="3">
        <v>2</v>
      </c>
      <c r="H65" s="3">
        <v>6</v>
      </c>
      <c r="I65" s="3">
        <v>9</v>
      </c>
      <c r="J65" s="3">
        <v>3</v>
      </c>
      <c r="K65" s="3">
        <v>0</v>
      </c>
      <c r="L65" s="3">
        <v>5</v>
      </c>
      <c r="M65" s="3">
        <v>7</v>
      </c>
      <c r="N65" s="3">
        <v>5</v>
      </c>
      <c r="O65" s="3">
        <v>5</v>
      </c>
      <c r="P65" s="3">
        <v>2</v>
      </c>
      <c r="Q65" s="17">
        <v>2</v>
      </c>
      <c r="R65" s="3">
        <v>0</v>
      </c>
      <c r="S65" s="7">
        <f t="shared" si="2"/>
        <v>46</v>
      </c>
      <c r="T65" s="3" t="s">
        <v>225</v>
      </c>
    </row>
    <row r="66" spans="1:21" x14ac:dyDescent="0.25">
      <c r="A66" s="3" t="str">
        <f>("132")</f>
        <v>132</v>
      </c>
      <c r="B66" s="3" t="str">
        <f>("177200")</f>
        <v>177200</v>
      </c>
      <c r="C66" s="1" t="s">
        <v>92</v>
      </c>
      <c r="D66" s="1" t="s">
        <v>93</v>
      </c>
      <c r="E66" s="1" t="s">
        <v>82</v>
      </c>
      <c r="F66" s="1" t="s">
        <v>176</v>
      </c>
      <c r="G66" s="3">
        <v>7</v>
      </c>
      <c r="H66" s="3">
        <v>4</v>
      </c>
      <c r="I66" s="3">
        <v>3</v>
      </c>
      <c r="J66" s="3">
        <v>7</v>
      </c>
      <c r="K66" s="3">
        <v>3</v>
      </c>
      <c r="L66" s="3">
        <v>10</v>
      </c>
      <c r="M66" s="3">
        <v>0</v>
      </c>
      <c r="N66" s="3">
        <v>2</v>
      </c>
      <c r="O66" s="3">
        <v>5</v>
      </c>
      <c r="P66" s="3">
        <v>11</v>
      </c>
      <c r="Q66" s="17">
        <v>0</v>
      </c>
      <c r="R66" s="3">
        <v>3</v>
      </c>
      <c r="S66" s="7">
        <f t="shared" si="2"/>
        <v>55</v>
      </c>
      <c r="T66" s="3" t="s">
        <v>227</v>
      </c>
    </row>
    <row r="67" spans="1:21" x14ac:dyDescent="0.25">
      <c r="A67" s="3" t="str">
        <f>("17")</f>
        <v>17</v>
      </c>
      <c r="B67" s="3" t="str">
        <f>("10478")</f>
        <v>10478</v>
      </c>
      <c r="C67" s="1" t="s">
        <v>52</v>
      </c>
      <c r="D67" s="1" t="s">
        <v>94</v>
      </c>
      <c r="E67" s="1" t="s">
        <v>82</v>
      </c>
      <c r="F67" s="1" t="s">
        <v>177</v>
      </c>
      <c r="G67" s="3">
        <v>5</v>
      </c>
      <c r="H67" s="3">
        <v>6</v>
      </c>
      <c r="I67" s="3">
        <v>5</v>
      </c>
      <c r="J67" s="3">
        <v>4</v>
      </c>
      <c r="K67" s="3">
        <v>3</v>
      </c>
      <c r="L67" s="3">
        <v>15</v>
      </c>
      <c r="M67" s="3">
        <v>11</v>
      </c>
      <c r="N67" s="3">
        <v>7</v>
      </c>
      <c r="O67" s="3">
        <v>9</v>
      </c>
      <c r="P67" s="3">
        <v>9</v>
      </c>
      <c r="Q67" s="17">
        <v>7</v>
      </c>
      <c r="R67" s="3">
        <v>9</v>
      </c>
      <c r="S67" s="7">
        <f t="shared" si="2"/>
        <v>90</v>
      </c>
      <c r="T67" s="3" t="s">
        <v>228</v>
      </c>
    </row>
    <row r="68" spans="1:21" x14ac:dyDescent="0.25">
      <c r="A68" s="3" t="str">
        <f>("29")</f>
        <v>29</v>
      </c>
      <c r="B68" s="3" t="str">
        <f>("191463")</f>
        <v>191463</v>
      </c>
      <c r="C68" s="1" t="s">
        <v>19</v>
      </c>
      <c r="D68" s="1" t="s">
        <v>81</v>
      </c>
      <c r="E68" s="1" t="s">
        <v>82</v>
      </c>
      <c r="F68" s="1" t="s">
        <v>170</v>
      </c>
      <c r="G68" s="3" t="s">
        <v>213</v>
      </c>
      <c r="H68" s="3" t="s">
        <v>213</v>
      </c>
      <c r="I68" s="3" t="s">
        <v>213</v>
      </c>
      <c r="J68" s="3" t="s">
        <v>213</v>
      </c>
      <c r="K68" s="3" t="s">
        <v>213</v>
      </c>
      <c r="L68" s="3" t="s">
        <v>213</v>
      </c>
      <c r="M68" s="3" t="s">
        <v>213</v>
      </c>
      <c r="N68" s="3" t="s">
        <v>213</v>
      </c>
      <c r="O68" s="3" t="s">
        <v>213</v>
      </c>
      <c r="P68" s="3" t="s">
        <v>213</v>
      </c>
      <c r="Q68" s="3" t="s">
        <v>213</v>
      </c>
      <c r="R68" s="3" t="s">
        <v>213</v>
      </c>
      <c r="S68" s="3" t="s">
        <v>213</v>
      </c>
      <c r="T68" s="3" t="s">
        <v>213</v>
      </c>
      <c r="U68" t="s">
        <v>212</v>
      </c>
    </row>
    <row r="69" spans="1:21" x14ac:dyDescent="0.25">
      <c r="A69" s="3" t="str">
        <f>("344")</f>
        <v>344</v>
      </c>
      <c r="B69" s="3" t="str">
        <f>("27668")</f>
        <v>27668</v>
      </c>
      <c r="C69" s="1" t="s">
        <v>84</v>
      </c>
      <c r="D69" s="1" t="s">
        <v>86</v>
      </c>
      <c r="E69" s="1" t="s">
        <v>82</v>
      </c>
      <c r="F69" s="1" t="s">
        <v>173</v>
      </c>
      <c r="G69" s="3" t="s">
        <v>213</v>
      </c>
      <c r="H69" s="3" t="s">
        <v>213</v>
      </c>
      <c r="I69" s="3" t="s">
        <v>213</v>
      </c>
      <c r="J69" s="3" t="s">
        <v>213</v>
      </c>
      <c r="K69" s="3" t="s">
        <v>213</v>
      </c>
      <c r="L69" s="3" t="s">
        <v>213</v>
      </c>
      <c r="M69" s="3" t="s">
        <v>213</v>
      </c>
      <c r="N69" s="3" t="s">
        <v>213</v>
      </c>
      <c r="O69" s="3" t="s">
        <v>213</v>
      </c>
      <c r="P69" s="3" t="s">
        <v>213</v>
      </c>
      <c r="Q69" s="3" t="s">
        <v>213</v>
      </c>
      <c r="R69" s="3" t="s">
        <v>213</v>
      </c>
      <c r="S69" s="3" t="s">
        <v>213</v>
      </c>
      <c r="T69" s="3" t="s">
        <v>213</v>
      </c>
      <c r="U69" t="s">
        <v>212</v>
      </c>
    </row>
    <row r="70" spans="1:21" x14ac:dyDescent="0.25">
      <c r="A70" s="3" t="str">
        <f>("32")</f>
        <v>32</v>
      </c>
      <c r="B70" s="3" t="str">
        <f>("166671")</f>
        <v>166671</v>
      </c>
      <c r="C70" s="1" t="s">
        <v>84</v>
      </c>
      <c r="D70" s="1" t="s">
        <v>105</v>
      </c>
      <c r="E70" s="1" t="s">
        <v>82</v>
      </c>
      <c r="F70" s="1" t="s">
        <v>158</v>
      </c>
      <c r="G70" s="3" t="s">
        <v>213</v>
      </c>
      <c r="H70" s="3" t="s">
        <v>213</v>
      </c>
      <c r="I70" s="3" t="s">
        <v>213</v>
      </c>
      <c r="J70" s="3" t="s">
        <v>213</v>
      </c>
      <c r="K70" s="3" t="s">
        <v>213</v>
      </c>
      <c r="L70" s="3" t="s">
        <v>213</v>
      </c>
      <c r="M70" s="3" t="s">
        <v>213</v>
      </c>
      <c r="N70" s="3" t="s">
        <v>213</v>
      </c>
      <c r="O70" s="3" t="s">
        <v>213</v>
      </c>
      <c r="P70" s="3" t="s">
        <v>213</v>
      </c>
      <c r="Q70" s="3" t="s">
        <v>213</v>
      </c>
      <c r="R70" s="3" t="s">
        <v>213</v>
      </c>
      <c r="S70" s="3" t="s">
        <v>213</v>
      </c>
      <c r="T70" s="3" t="s">
        <v>213</v>
      </c>
      <c r="U70" t="s">
        <v>212</v>
      </c>
    </row>
    <row r="71" spans="1:21" x14ac:dyDescent="0.25">
      <c r="A71" s="3" t="str">
        <f>("105")</f>
        <v>105</v>
      </c>
      <c r="B71" s="3" t="str">
        <f>("132782")</f>
        <v>132782</v>
      </c>
      <c r="C71" s="1" t="s">
        <v>46</v>
      </c>
      <c r="D71" s="1" t="s">
        <v>83</v>
      </c>
      <c r="E71" s="1" t="s">
        <v>82</v>
      </c>
      <c r="F71" s="1" t="s">
        <v>171</v>
      </c>
      <c r="G71" s="3" t="s">
        <v>214</v>
      </c>
      <c r="H71" s="3" t="s">
        <v>214</v>
      </c>
      <c r="I71" s="3" t="s">
        <v>214</v>
      </c>
      <c r="J71" s="3" t="s">
        <v>214</v>
      </c>
      <c r="K71" s="3" t="s">
        <v>214</v>
      </c>
      <c r="L71" s="3" t="s">
        <v>214</v>
      </c>
      <c r="M71" s="3" t="s">
        <v>214</v>
      </c>
      <c r="N71" s="3" t="s">
        <v>214</v>
      </c>
      <c r="O71" s="3" t="s">
        <v>214</v>
      </c>
      <c r="P71" s="3" t="s">
        <v>214</v>
      </c>
      <c r="Q71" s="3" t="s">
        <v>214</v>
      </c>
      <c r="R71" s="3" t="s">
        <v>214</v>
      </c>
      <c r="S71" s="3" t="s">
        <v>214</v>
      </c>
      <c r="T71" s="3" t="s">
        <v>214</v>
      </c>
      <c r="U71" t="s">
        <v>212</v>
      </c>
    </row>
    <row r="72" spans="1:21" x14ac:dyDescent="0.25">
      <c r="A72" s="3" t="str">
        <f>("147")</f>
        <v>147</v>
      </c>
      <c r="B72" s="3" t="str">
        <f>("10927")</f>
        <v>10927</v>
      </c>
      <c r="C72" s="1" t="s">
        <v>76</v>
      </c>
      <c r="D72" s="1" t="s">
        <v>97</v>
      </c>
      <c r="E72" s="1" t="s">
        <v>82</v>
      </c>
      <c r="F72" s="1" t="s">
        <v>179</v>
      </c>
      <c r="G72" s="3" t="s">
        <v>214</v>
      </c>
      <c r="H72" s="3" t="s">
        <v>214</v>
      </c>
      <c r="I72" s="3" t="s">
        <v>214</v>
      </c>
      <c r="J72" s="3" t="s">
        <v>214</v>
      </c>
      <c r="K72" s="3" t="s">
        <v>214</v>
      </c>
      <c r="L72" s="3" t="s">
        <v>214</v>
      </c>
      <c r="M72" s="3" t="s">
        <v>214</v>
      </c>
      <c r="N72" s="3" t="s">
        <v>214</v>
      </c>
      <c r="O72" s="3" t="s">
        <v>214</v>
      </c>
      <c r="P72" s="3" t="s">
        <v>214</v>
      </c>
      <c r="Q72" s="3" t="s">
        <v>214</v>
      </c>
      <c r="R72" s="3" t="s">
        <v>214</v>
      </c>
      <c r="S72" s="3" t="s">
        <v>214</v>
      </c>
      <c r="T72" s="3" t="s">
        <v>214</v>
      </c>
      <c r="U72" t="s">
        <v>212</v>
      </c>
    </row>
    <row r="73" spans="1:21" x14ac:dyDescent="0.25">
      <c r="A73" s="3"/>
      <c r="B73" s="3"/>
      <c r="C73" s="1"/>
      <c r="D73" s="1"/>
      <c r="E73" s="1"/>
      <c r="F73" s="1"/>
      <c r="G73" s="3"/>
      <c r="H73" s="3"/>
      <c r="I73" s="3"/>
      <c r="J73" s="3"/>
      <c r="K73" s="3"/>
      <c r="L73" s="3"/>
      <c r="M73" s="3"/>
      <c r="N73" s="3"/>
      <c r="O73" s="3"/>
      <c r="P73" s="3"/>
      <c r="Q73" s="17"/>
      <c r="R73" s="3"/>
      <c r="S73" s="7"/>
      <c r="T73" s="3"/>
    </row>
    <row r="74" spans="1:21" x14ac:dyDescent="0.25">
      <c r="A74" s="3" t="str">
        <f>("812")</f>
        <v>812</v>
      </c>
      <c r="B74" s="3" t="str">
        <f>("168709")</f>
        <v>168709</v>
      </c>
      <c r="C74" s="1" t="s">
        <v>106</v>
      </c>
      <c r="D74" s="1" t="s">
        <v>36</v>
      </c>
      <c r="E74" s="1" t="s">
        <v>107</v>
      </c>
      <c r="F74" s="1" t="s">
        <v>158</v>
      </c>
      <c r="G74" s="3">
        <v>3</v>
      </c>
      <c r="H74" s="3">
        <v>7</v>
      </c>
      <c r="I74" s="3">
        <v>6</v>
      </c>
      <c r="J74" s="3">
        <v>8</v>
      </c>
      <c r="K74" s="3">
        <v>1</v>
      </c>
      <c r="L74" s="3">
        <v>2</v>
      </c>
      <c r="M74" s="3">
        <v>11</v>
      </c>
      <c r="N74" s="3">
        <v>7</v>
      </c>
      <c r="O74" s="3">
        <v>3</v>
      </c>
      <c r="P74" s="3">
        <v>4</v>
      </c>
      <c r="Q74" s="17">
        <v>1</v>
      </c>
      <c r="R74" s="3">
        <v>0</v>
      </c>
      <c r="S74" s="7">
        <f>SUM(G74:R74)</f>
        <v>53</v>
      </c>
      <c r="T74" s="3" t="s">
        <v>217</v>
      </c>
    </row>
    <row r="75" spans="1:21" x14ac:dyDescent="0.25">
      <c r="A75" s="3" t="str">
        <f>("807")</f>
        <v>807</v>
      </c>
      <c r="B75" s="3" t="str">
        <f>("160833")</f>
        <v>160833</v>
      </c>
      <c r="C75" s="1" t="s">
        <v>4</v>
      </c>
      <c r="D75" s="1" t="s">
        <v>111</v>
      </c>
      <c r="E75" s="1" t="s">
        <v>107</v>
      </c>
      <c r="F75" s="1" t="s">
        <v>183</v>
      </c>
      <c r="G75" s="3">
        <v>6</v>
      </c>
      <c r="H75" s="3">
        <v>6</v>
      </c>
      <c r="I75" s="3">
        <v>11</v>
      </c>
      <c r="J75" s="3">
        <v>5</v>
      </c>
      <c r="K75" s="3">
        <v>1</v>
      </c>
      <c r="L75" s="3">
        <v>1</v>
      </c>
      <c r="M75" s="3">
        <v>6</v>
      </c>
      <c r="N75" s="3">
        <v>11</v>
      </c>
      <c r="O75" s="3">
        <v>8</v>
      </c>
      <c r="P75" s="3">
        <v>11</v>
      </c>
      <c r="Q75" s="17">
        <v>0</v>
      </c>
      <c r="R75" s="3">
        <v>6</v>
      </c>
      <c r="S75" s="7">
        <f>SUM(G75:R75)</f>
        <v>72</v>
      </c>
      <c r="T75" s="3" t="s">
        <v>218</v>
      </c>
    </row>
    <row r="76" spans="1:21" x14ac:dyDescent="0.25">
      <c r="A76" s="3"/>
      <c r="B76" s="3"/>
      <c r="C76" s="1"/>
      <c r="D76" s="1"/>
      <c r="E76" s="1"/>
      <c r="F76" s="1"/>
      <c r="G76" s="3"/>
      <c r="H76" s="3"/>
      <c r="I76" s="3"/>
      <c r="J76" s="3"/>
      <c r="K76" s="3"/>
      <c r="L76" s="3"/>
      <c r="M76" s="3"/>
      <c r="N76" s="3"/>
      <c r="O76" s="3"/>
      <c r="P76" s="3"/>
      <c r="Q76" s="17"/>
      <c r="R76" s="3"/>
      <c r="S76" s="7"/>
      <c r="T76" s="3"/>
    </row>
    <row r="77" spans="1:21" x14ac:dyDescent="0.25">
      <c r="A77" s="3" t="str">
        <f>("10")</f>
        <v>10</v>
      </c>
      <c r="B77" s="3" t="str">
        <f>("167921")</f>
        <v>167921</v>
      </c>
      <c r="C77" s="1" t="s">
        <v>119</v>
      </c>
      <c r="D77" s="1" t="s">
        <v>120</v>
      </c>
      <c r="E77" s="1" t="s">
        <v>110</v>
      </c>
      <c r="F77" s="1" t="s">
        <v>187</v>
      </c>
      <c r="G77" s="3">
        <v>6</v>
      </c>
      <c r="H77" s="3">
        <v>3</v>
      </c>
      <c r="I77" s="3">
        <v>4</v>
      </c>
      <c r="J77" s="3">
        <v>1</v>
      </c>
      <c r="K77" s="3">
        <v>0</v>
      </c>
      <c r="L77" s="3">
        <v>10</v>
      </c>
      <c r="M77" s="3">
        <v>0</v>
      </c>
      <c r="N77" s="3">
        <v>1</v>
      </c>
      <c r="O77" s="3">
        <v>0</v>
      </c>
      <c r="P77" s="3">
        <v>1</v>
      </c>
      <c r="Q77" s="17">
        <v>6</v>
      </c>
      <c r="R77" s="3">
        <v>6</v>
      </c>
      <c r="S77" s="7">
        <f>SUM(G77:R77)</f>
        <v>38</v>
      </c>
      <c r="T77" s="3" t="s">
        <v>217</v>
      </c>
    </row>
    <row r="78" spans="1:21" x14ac:dyDescent="0.25">
      <c r="A78" s="3" t="str">
        <f>("374")</f>
        <v>374</v>
      </c>
      <c r="B78" s="3" t="str">
        <f>("178232")</f>
        <v>178232</v>
      </c>
      <c r="C78" s="1" t="s">
        <v>108</v>
      </c>
      <c r="D78" s="1" t="s">
        <v>109</v>
      </c>
      <c r="E78" s="1" t="s">
        <v>110</v>
      </c>
      <c r="F78" s="1" t="s">
        <v>182</v>
      </c>
      <c r="G78" s="3">
        <v>8</v>
      </c>
      <c r="H78" s="3">
        <v>11</v>
      </c>
      <c r="I78" s="3">
        <v>6</v>
      </c>
      <c r="J78" s="3">
        <v>8</v>
      </c>
      <c r="K78" s="3">
        <v>5</v>
      </c>
      <c r="L78" s="3">
        <v>11</v>
      </c>
      <c r="M78" s="3">
        <v>5</v>
      </c>
      <c r="N78" s="3">
        <v>2</v>
      </c>
      <c r="O78" s="3">
        <v>6</v>
      </c>
      <c r="P78" s="3">
        <v>9</v>
      </c>
      <c r="Q78" s="17">
        <v>6</v>
      </c>
      <c r="R78" s="3">
        <v>4</v>
      </c>
      <c r="S78" s="7">
        <f>SUM(G78:R78)</f>
        <v>81</v>
      </c>
      <c r="T78" s="3" t="s">
        <v>218</v>
      </c>
    </row>
    <row r="79" spans="1:21" x14ac:dyDescent="0.25">
      <c r="A79" s="3" t="str">
        <f>("819")</f>
        <v>819</v>
      </c>
      <c r="B79" s="3" t="str">
        <f>("167232")</f>
        <v>167232</v>
      </c>
      <c r="C79" s="1" t="s">
        <v>114</v>
      </c>
      <c r="D79" s="1" t="s">
        <v>115</v>
      </c>
      <c r="E79" s="1" t="s">
        <v>110</v>
      </c>
      <c r="F79" s="1" t="s">
        <v>185</v>
      </c>
      <c r="G79" s="3">
        <v>13</v>
      </c>
      <c r="H79" s="3">
        <v>8</v>
      </c>
      <c r="I79" s="3">
        <v>11</v>
      </c>
      <c r="J79" s="3">
        <v>8</v>
      </c>
      <c r="K79" s="3">
        <v>8</v>
      </c>
      <c r="L79" s="3">
        <v>13</v>
      </c>
      <c r="M79" s="3">
        <v>4</v>
      </c>
      <c r="N79" s="3">
        <v>3</v>
      </c>
      <c r="O79" s="3">
        <v>4</v>
      </c>
      <c r="P79" s="3">
        <v>9</v>
      </c>
      <c r="Q79" s="17">
        <v>9</v>
      </c>
      <c r="R79" s="3">
        <v>4</v>
      </c>
      <c r="S79" s="7">
        <f>SUM(G79:R79)</f>
        <v>94</v>
      </c>
      <c r="T79" s="3" t="s">
        <v>219</v>
      </c>
    </row>
    <row r="80" spans="1:21" x14ac:dyDescent="0.25">
      <c r="A80" s="3" t="str">
        <f>("393")</f>
        <v>393</v>
      </c>
      <c r="B80" s="3" t="str">
        <f>("204153")</f>
        <v>204153</v>
      </c>
      <c r="C80" s="1" t="s">
        <v>112</v>
      </c>
      <c r="D80" s="1" t="s">
        <v>113</v>
      </c>
      <c r="E80" s="1" t="s">
        <v>110</v>
      </c>
      <c r="F80" s="1" t="s">
        <v>184</v>
      </c>
      <c r="G80" s="3" t="s">
        <v>213</v>
      </c>
      <c r="H80" s="3" t="s">
        <v>213</v>
      </c>
      <c r="I80" s="3" t="s">
        <v>213</v>
      </c>
      <c r="J80" s="3" t="s">
        <v>213</v>
      </c>
      <c r="K80" s="3" t="s">
        <v>213</v>
      </c>
      <c r="L80" s="3" t="s">
        <v>213</v>
      </c>
      <c r="M80" s="3" t="s">
        <v>213</v>
      </c>
      <c r="N80" s="3" t="s">
        <v>213</v>
      </c>
      <c r="O80" s="3" t="s">
        <v>213</v>
      </c>
      <c r="P80" s="3" t="s">
        <v>213</v>
      </c>
      <c r="Q80" s="3" t="s">
        <v>213</v>
      </c>
      <c r="R80" s="3" t="s">
        <v>213</v>
      </c>
      <c r="S80" s="3" t="s">
        <v>213</v>
      </c>
      <c r="T80" s="3" t="s">
        <v>213</v>
      </c>
      <c r="U80" t="s">
        <v>212</v>
      </c>
    </row>
    <row r="81" spans="1:21" x14ac:dyDescent="0.25">
      <c r="A81" s="3"/>
      <c r="B81" s="3"/>
      <c r="C81" s="1"/>
      <c r="D81" s="1"/>
      <c r="E81" s="1"/>
      <c r="F81" s="1"/>
      <c r="G81" s="3"/>
      <c r="H81" s="3"/>
      <c r="I81" s="3"/>
      <c r="J81" s="3"/>
      <c r="K81" s="3"/>
      <c r="L81" s="3"/>
      <c r="M81" s="3"/>
      <c r="N81" s="3"/>
      <c r="O81" s="3"/>
      <c r="P81" s="3"/>
      <c r="Q81" s="17"/>
      <c r="R81" s="3"/>
      <c r="S81" s="7"/>
      <c r="T81" s="3"/>
    </row>
    <row r="82" spans="1:21" x14ac:dyDescent="0.25">
      <c r="A82" s="3" t="str">
        <f>("93")</f>
        <v>93</v>
      </c>
      <c r="B82" s="3" t="str">
        <f>("166122")</f>
        <v>166122</v>
      </c>
      <c r="C82" s="1" t="s">
        <v>125</v>
      </c>
      <c r="D82" s="1" t="s">
        <v>52</v>
      </c>
      <c r="E82" s="1" t="s">
        <v>118</v>
      </c>
      <c r="F82" s="1" t="s">
        <v>158</v>
      </c>
      <c r="G82" s="3">
        <v>2</v>
      </c>
      <c r="H82" s="3">
        <v>0</v>
      </c>
      <c r="I82" s="3">
        <v>2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3</v>
      </c>
      <c r="P82" s="3">
        <v>8</v>
      </c>
      <c r="Q82" s="17">
        <v>0</v>
      </c>
      <c r="R82" s="3">
        <v>0</v>
      </c>
      <c r="S82" s="7">
        <f>SUM(G82:R82)</f>
        <v>15</v>
      </c>
      <c r="T82" s="3" t="s">
        <v>217</v>
      </c>
    </row>
    <row r="83" spans="1:21" x14ac:dyDescent="0.25">
      <c r="A83" s="3" t="str">
        <f>("41")</f>
        <v>41</v>
      </c>
      <c r="B83" s="3" t="str">
        <f>("208372")</f>
        <v>208372</v>
      </c>
      <c r="C83" s="1" t="s">
        <v>123</v>
      </c>
      <c r="D83" s="1" t="s">
        <v>124</v>
      </c>
      <c r="E83" s="1" t="s">
        <v>118</v>
      </c>
      <c r="F83" s="1" t="s">
        <v>188</v>
      </c>
      <c r="G83" s="3">
        <v>0</v>
      </c>
      <c r="H83" s="3">
        <v>1</v>
      </c>
      <c r="I83" s="3">
        <v>3</v>
      </c>
      <c r="J83" s="3">
        <v>0</v>
      </c>
      <c r="K83" s="3">
        <v>0</v>
      </c>
      <c r="L83" s="3">
        <v>0</v>
      </c>
      <c r="M83" s="3">
        <v>1</v>
      </c>
      <c r="N83" s="3">
        <v>1</v>
      </c>
      <c r="O83" s="3">
        <v>5</v>
      </c>
      <c r="P83" s="3">
        <v>6</v>
      </c>
      <c r="Q83" s="17">
        <v>0</v>
      </c>
      <c r="R83" s="3">
        <v>1</v>
      </c>
      <c r="S83" s="7">
        <f>SUM(G83:R83)</f>
        <v>18</v>
      </c>
      <c r="T83" s="3" t="s">
        <v>218</v>
      </c>
    </row>
    <row r="84" spans="1:21" x14ac:dyDescent="0.25">
      <c r="A84" s="3" t="str">
        <f>("816")</f>
        <v>816</v>
      </c>
      <c r="B84" s="3" t="str">
        <f>("182041")</f>
        <v>182041</v>
      </c>
      <c r="C84" s="1" t="s">
        <v>121</v>
      </c>
      <c r="D84" s="1" t="s">
        <v>122</v>
      </c>
      <c r="E84" s="1" t="s">
        <v>118</v>
      </c>
      <c r="F84" s="1" t="s">
        <v>186</v>
      </c>
      <c r="G84" s="3">
        <v>0</v>
      </c>
      <c r="H84" s="3">
        <v>4</v>
      </c>
      <c r="I84" s="3">
        <v>9</v>
      </c>
      <c r="J84" s="3">
        <v>1</v>
      </c>
      <c r="K84" s="3">
        <v>0</v>
      </c>
      <c r="L84" s="3">
        <v>9</v>
      </c>
      <c r="M84" s="3">
        <v>0</v>
      </c>
      <c r="N84" s="3">
        <v>3</v>
      </c>
      <c r="O84" s="3">
        <v>8</v>
      </c>
      <c r="P84" s="3">
        <v>6</v>
      </c>
      <c r="Q84" s="17">
        <v>15</v>
      </c>
      <c r="R84" s="3">
        <v>2</v>
      </c>
      <c r="S84" s="7">
        <f>SUM(G84:R84)</f>
        <v>57</v>
      </c>
      <c r="T84" s="3" t="s">
        <v>219</v>
      </c>
    </row>
    <row r="85" spans="1:21" x14ac:dyDescent="0.25">
      <c r="A85" s="3" t="str">
        <f>("810")</f>
        <v>810</v>
      </c>
      <c r="B85" s="3" t="str">
        <f>("200713")</f>
        <v>200713</v>
      </c>
      <c r="C85" s="1" t="s">
        <v>116</v>
      </c>
      <c r="D85" s="1" t="s">
        <v>117</v>
      </c>
      <c r="E85" s="1" t="s">
        <v>118</v>
      </c>
      <c r="F85" s="1" t="s">
        <v>186</v>
      </c>
      <c r="G85" s="3">
        <v>8</v>
      </c>
      <c r="H85" s="3">
        <v>9</v>
      </c>
      <c r="I85" s="3">
        <v>11</v>
      </c>
      <c r="J85" s="3">
        <v>15</v>
      </c>
      <c r="K85" s="3">
        <v>8</v>
      </c>
      <c r="L85" s="3">
        <v>11</v>
      </c>
      <c r="M85" s="3">
        <v>9</v>
      </c>
      <c r="N85" s="3">
        <v>6</v>
      </c>
      <c r="O85" s="3">
        <v>11</v>
      </c>
      <c r="P85" s="3">
        <v>10</v>
      </c>
      <c r="Q85" s="17">
        <v>7</v>
      </c>
      <c r="R85" s="3">
        <v>5</v>
      </c>
      <c r="S85" s="7">
        <f>SUM(G85:R85)</f>
        <v>110</v>
      </c>
      <c r="T85" s="3" t="s">
        <v>220</v>
      </c>
    </row>
    <row r="86" spans="1:21" x14ac:dyDescent="0.25">
      <c r="A86" s="3"/>
      <c r="B86" s="3"/>
      <c r="C86" s="1"/>
      <c r="D86" s="1"/>
      <c r="E86" s="1"/>
      <c r="F86" s="1"/>
      <c r="G86" s="3"/>
      <c r="H86" s="3"/>
      <c r="I86" s="3"/>
      <c r="J86" s="3"/>
      <c r="K86" s="3"/>
      <c r="L86" s="3"/>
      <c r="M86" s="3"/>
      <c r="N86" s="3"/>
      <c r="O86" s="3"/>
      <c r="P86" s="3"/>
      <c r="Q86" s="17"/>
      <c r="R86" s="3"/>
      <c r="S86" s="7"/>
      <c r="T86" s="3"/>
    </row>
    <row r="87" spans="1:21" x14ac:dyDescent="0.25">
      <c r="A87" s="3" t="str">
        <f>("139")</f>
        <v>139</v>
      </c>
      <c r="B87" s="3" t="str">
        <f>("193891")</f>
        <v>193891</v>
      </c>
      <c r="C87" s="1" t="s">
        <v>130</v>
      </c>
      <c r="D87" s="1" t="s">
        <v>62</v>
      </c>
      <c r="E87" s="1" t="s">
        <v>128</v>
      </c>
      <c r="F87" s="1" t="s">
        <v>190</v>
      </c>
      <c r="G87" s="3">
        <v>0</v>
      </c>
      <c r="H87" s="3">
        <v>3</v>
      </c>
      <c r="I87" s="3">
        <v>1</v>
      </c>
      <c r="J87" s="3">
        <v>0</v>
      </c>
      <c r="K87" s="3">
        <v>0</v>
      </c>
      <c r="L87" s="3">
        <v>3</v>
      </c>
      <c r="M87" s="3">
        <v>0</v>
      </c>
      <c r="N87" s="3">
        <v>0</v>
      </c>
      <c r="O87" s="3">
        <v>0</v>
      </c>
      <c r="P87" s="3">
        <v>1</v>
      </c>
      <c r="Q87" s="17">
        <v>1</v>
      </c>
      <c r="R87" s="3">
        <v>0</v>
      </c>
      <c r="S87" s="7">
        <f>SUM(G87:R87)</f>
        <v>9</v>
      </c>
      <c r="T87" s="3" t="s">
        <v>217</v>
      </c>
    </row>
    <row r="88" spans="1:21" x14ac:dyDescent="0.25">
      <c r="A88" s="3" t="str">
        <f>("800")</f>
        <v>800</v>
      </c>
      <c r="B88" s="3" t="str">
        <f>("191656")</f>
        <v>191656</v>
      </c>
      <c r="C88" s="1" t="s">
        <v>129</v>
      </c>
      <c r="D88" s="1" t="s">
        <v>35</v>
      </c>
      <c r="E88" s="1" t="s">
        <v>128</v>
      </c>
      <c r="F88" s="1" t="s">
        <v>189</v>
      </c>
      <c r="G88" s="3">
        <v>0</v>
      </c>
      <c r="H88" s="3">
        <v>2</v>
      </c>
      <c r="I88" s="3">
        <v>0</v>
      </c>
      <c r="J88" s="3">
        <v>1</v>
      </c>
      <c r="K88" s="3">
        <v>0</v>
      </c>
      <c r="L88" s="3">
        <v>3</v>
      </c>
      <c r="M88" s="3">
        <v>1</v>
      </c>
      <c r="N88" s="3">
        <v>0</v>
      </c>
      <c r="O88" s="3">
        <v>0</v>
      </c>
      <c r="P88" s="3">
        <v>5</v>
      </c>
      <c r="Q88" s="17">
        <v>1</v>
      </c>
      <c r="R88" s="3">
        <v>0</v>
      </c>
      <c r="S88" s="7">
        <f>SUM(G88:R88)</f>
        <v>13</v>
      </c>
      <c r="T88" s="3" t="s">
        <v>218</v>
      </c>
    </row>
    <row r="89" spans="1:21" x14ac:dyDescent="0.25">
      <c r="A89" s="3" t="str">
        <f>("207")</f>
        <v>207</v>
      </c>
      <c r="B89" s="3" t="str">
        <f>("199784")</f>
        <v>199784</v>
      </c>
      <c r="C89" s="1" t="s">
        <v>132</v>
      </c>
      <c r="D89" s="1" t="s">
        <v>133</v>
      </c>
      <c r="E89" s="1" t="s">
        <v>128</v>
      </c>
      <c r="F89" s="1" t="s">
        <v>192</v>
      </c>
      <c r="G89" s="3">
        <v>4</v>
      </c>
      <c r="H89" s="3">
        <v>8</v>
      </c>
      <c r="I89" s="3">
        <v>1</v>
      </c>
      <c r="J89" s="3">
        <v>0</v>
      </c>
      <c r="K89" s="3">
        <v>0</v>
      </c>
      <c r="L89" s="3">
        <v>3</v>
      </c>
      <c r="M89" s="3">
        <v>2</v>
      </c>
      <c r="N89" s="3">
        <v>2</v>
      </c>
      <c r="O89" s="3">
        <v>1</v>
      </c>
      <c r="P89" s="3">
        <v>0</v>
      </c>
      <c r="Q89" s="17">
        <v>4</v>
      </c>
      <c r="R89" s="3">
        <v>1</v>
      </c>
      <c r="S89" s="7">
        <f>SUM(G89:R89)</f>
        <v>26</v>
      </c>
      <c r="T89" s="3" t="s">
        <v>219</v>
      </c>
    </row>
    <row r="90" spans="1:21" x14ac:dyDescent="0.25">
      <c r="A90" s="3" t="str">
        <f>("256")</f>
        <v>256</v>
      </c>
      <c r="B90" s="3" t="str">
        <f>("183844")</f>
        <v>183844</v>
      </c>
      <c r="C90" s="1" t="s">
        <v>108</v>
      </c>
      <c r="D90" s="1" t="s">
        <v>131</v>
      </c>
      <c r="E90" s="1" t="s">
        <v>128</v>
      </c>
      <c r="F90" s="1" t="s">
        <v>191</v>
      </c>
      <c r="G90" s="3">
        <v>1</v>
      </c>
      <c r="H90" s="3">
        <v>13</v>
      </c>
      <c r="I90" s="3">
        <v>1</v>
      </c>
      <c r="J90" s="3">
        <v>3</v>
      </c>
      <c r="K90" s="3">
        <v>3</v>
      </c>
      <c r="L90" s="3">
        <v>11</v>
      </c>
      <c r="M90" s="3">
        <v>8</v>
      </c>
      <c r="N90" s="3">
        <v>3</v>
      </c>
      <c r="O90" s="3">
        <v>3</v>
      </c>
      <c r="P90" s="3">
        <v>3</v>
      </c>
      <c r="Q90" s="17">
        <v>9</v>
      </c>
      <c r="R90" s="3">
        <v>8</v>
      </c>
      <c r="S90" s="7">
        <f>SUM(G90:R90)</f>
        <v>66</v>
      </c>
      <c r="T90" s="3" t="s">
        <v>220</v>
      </c>
    </row>
    <row r="91" spans="1:21" x14ac:dyDescent="0.25">
      <c r="A91" s="3" t="str">
        <f>("407")</f>
        <v>407</v>
      </c>
      <c r="B91" s="3" t="str">
        <f>("214030")</f>
        <v>214030</v>
      </c>
      <c r="C91" s="1" t="s">
        <v>126</v>
      </c>
      <c r="D91" s="1" t="s">
        <v>127</v>
      </c>
      <c r="E91" s="1" t="s">
        <v>128</v>
      </c>
      <c r="F91" s="1" t="s">
        <v>188</v>
      </c>
      <c r="G91" s="3">
        <v>5</v>
      </c>
      <c r="H91" s="3">
        <v>15</v>
      </c>
      <c r="I91" s="3">
        <v>3</v>
      </c>
      <c r="J91" s="3">
        <v>13</v>
      </c>
      <c r="K91" s="3">
        <v>7</v>
      </c>
      <c r="L91" s="3">
        <v>9</v>
      </c>
      <c r="M91" s="3">
        <v>5</v>
      </c>
      <c r="N91" s="3">
        <v>2</v>
      </c>
      <c r="O91" s="3">
        <v>2</v>
      </c>
      <c r="P91" s="6">
        <v>6</v>
      </c>
      <c r="Q91" s="17">
        <v>9</v>
      </c>
      <c r="R91" s="3">
        <v>5</v>
      </c>
      <c r="S91" s="7">
        <f>SUM(G91:R91)</f>
        <v>81</v>
      </c>
      <c r="T91" s="3" t="s">
        <v>221</v>
      </c>
    </row>
    <row r="92" spans="1:21" x14ac:dyDescent="0.25">
      <c r="A92" s="3" t="str">
        <f>("290")</f>
        <v>290</v>
      </c>
      <c r="B92" s="3" t="str">
        <f>("215019")</f>
        <v>215019</v>
      </c>
      <c r="C92" s="1" t="s">
        <v>134</v>
      </c>
      <c r="D92" s="1" t="s">
        <v>81</v>
      </c>
      <c r="E92" s="1" t="s">
        <v>128</v>
      </c>
      <c r="F92" s="1" t="s">
        <v>193</v>
      </c>
      <c r="G92" s="3" t="s">
        <v>213</v>
      </c>
      <c r="H92" s="3" t="s">
        <v>213</v>
      </c>
      <c r="I92" s="3" t="s">
        <v>213</v>
      </c>
      <c r="J92" s="3" t="s">
        <v>213</v>
      </c>
      <c r="K92" s="3" t="s">
        <v>213</v>
      </c>
      <c r="L92" s="3" t="s">
        <v>213</v>
      </c>
      <c r="M92" s="3" t="s">
        <v>213</v>
      </c>
      <c r="N92" s="3" t="s">
        <v>213</v>
      </c>
      <c r="O92" s="3" t="s">
        <v>213</v>
      </c>
      <c r="P92" s="3" t="s">
        <v>213</v>
      </c>
      <c r="Q92" s="3" t="s">
        <v>213</v>
      </c>
      <c r="R92" s="3" t="s">
        <v>213</v>
      </c>
      <c r="S92" s="3" t="s">
        <v>213</v>
      </c>
      <c r="T92" s="3" t="s">
        <v>213</v>
      </c>
      <c r="U92" t="s">
        <v>212</v>
      </c>
    </row>
    <row r="93" spans="1:21" x14ac:dyDescent="0.25">
      <c r="A93" s="3"/>
      <c r="B93" s="3"/>
      <c r="C93" s="1"/>
      <c r="D93" s="1"/>
      <c r="E93" s="1"/>
      <c r="F93" s="1"/>
      <c r="G93" s="3"/>
      <c r="H93" s="3"/>
      <c r="I93" s="3"/>
      <c r="J93" s="3"/>
      <c r="K93" s="3"/>
      <c r="L93" s="3"/>
      <c r="M93" s="3"/>
      <c r="N93" s="3"/>
      <c r="O93" s="3"/>
      <c r="P93" s="7"/>
      <c r="Q93" s="17"/>
      <c r="R93" s="3"/>
      <c r="S93" s="7"/>
      <c r="T93" s="3"/>
    </row>
    <row r="94" spans="1:21" x14ac:dyDescent="0.25">
      <c r="A94" s="6" t="str">
        <f>("485")</f>
        <v>485</v>
      </c>
      <c r="B94" s="6" t="str">
        <f>("210586")</f>
        <v>210586</v>
      </c>
      <c r="C94" s="20" t="s">
        <v>135</v>
      </c>
      <c r="D94" s="20" t="s">
        <v>86</v>
      </c>
      <c r="E94" s="20" t="s">
        <v>136</v>
      </c>
      <c r="F94" s="20" t="s">
        <v>194</v>
      </c>
      <c r="G94" s="6">
        <v>0</v>
      </c>
      <c r="H94" s="6">
        <v>4</v>
      </c>
      <c r="I94" s="6">
        <v>5</v>
      </c>
      <c r="J94" s="6">
        <v>0</v>
      </c>
      <c r="K94" s="6">
        <v>9</v>
      </c>
      <c r="L94" s="6">
        <v>1</v>
      </c>
      <c r="M94" s="6">
        <v>0</v>
      </c>
      <c r="N94" s="6">
        <v>15</v>
      </c>
      <c r="O94" s="6">
        <v>0</v>
      </c>
      <c r="P94" s="6">
        <v>0</v>
      </c>
      <c r="Q94" s="21">
        <v>9</v>
      </c>
      <c r="R94" s="6">
        <v>2</v>
      </c>
      <c r="S94" s="9">
        <f>SUM(G94:R94)</f>
        <v>45</v>
      </c>
      <c r="T94" s="6" t="s">
        <v>217</v>
      </c>
    </row>
    <row r="95" spans="1:21" x14ac:dyDescent="0.25">
      <c r="A95" s="8" t="str">
        <f>("820")</f>
        <v>820</v>
      </c>
      <c r="B95" s="8" t="str">
        <f>("215444")</f>
        <v>215444</v>
      </c>
      <c r="C95" s="18" t="s">
        <v>13</v>
      </c>
      <c r="D95" s="18" t="s">
        <v>137</v>
      </c>
      <c r="E95" s="18" t="s">
        <v>136</v>
      </c>
      <c r="F95" s="18" t="s">
        <v>195</v>
      </c>
      <c r="G95" s="8" t="s">
        <v>214</v>
      </c>
      <c r="H95" s="8" t="s">
        <v>214</v>
      </c>
      <c r="I95" s="8" t="s">
        <v>214</v>
      </c>
      <c r="J95" s="8" t="s">
        <v>214</v>
      </c>
      <c r="K95" s="8" t="s">
        <v>214</v>
      </c>
      <c r="L95" s="8" t="s">
        <v>214</v>
      </c>
      <c r="M95" s="8" t="s">
        <v>214</v>
      </c>
      <c r="N95" s="8" t="s">
        <v>214</v>
      </c>
      <c r="O95" s="8" t="s">
        <v>214</v>
      </c>
      <c r="P95" s="8" t="s">
        <v>214</v>
      </c>
      <c r="Q95" s="19" t="s">
        <v>214</v>
      </c>
      <c r="R95" s="8" t="s">
        <v>214</v>
      </c>
      <c r="S95" s="8" t="s">
        <v>214</v>
      </c>
      <c r="T95" s="8" t="s">
        <v>214</v>
      </c>
      <c r="U95" t="s">
        <v>212</v>
      </c>
    </row>
    <row r="96" spans="1:21" x14ac:dyDescent="0.25">
      <c r="A96" s="11"/>
      <c r="B96" s="11"/>
      <c r="C96" s="10"/>
      <c r="D96" s="10"/>
      <c r="E96" s="10"/>
      <c r="F96" s="10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</row>
    <row r="97" spans="1:20" x14ac:dyDescent="0.25">
      <c r="A97" s="8" t="str">
        <f>("31")</f>
        <v>31</v>
      </c>
      <c r="B97" s="8" t="str">
        <f>("208008")</f>
        <v>208008</v>
      </c>
      <c r="C97" s="18" t="s">
        <v>0</v>
      </c>
      <c r="D97" s="18" t="s">
        <v>1</v>
      </c>
      <c r="E97" s="18" t="s">
        <v>2</v>
      </c>
      <c r="F97" s="18" t="s">
        <v>143</v>
      </c>
      <c r="G97" s="8">
        <v>0</v>
      </c>
      <c r="H97" s="8">
        <v>0</v>
      </c>
      <c r="I97" s="8">
        <v>0</v>
      </c>
      <c r="J97" s="8">
        <v>0</v>
      </c>
      <c r="K97" s="8">
        <v>15</v>
      </c>
      <c r="L97" s="8">
        <v>10</v>
      </c>
      <c r="M97" s="8">
        <v>15</v>
      </c>
      <c r="N97" s="8">
        <v>9</v>
      </c>
      <c r="O97" s="8">
        <v>1</v>
      </c>
      <c r="P97" s="8">
        <v>0</v>
      </c>
      <c r="Q97" s="19">
        <v>9</v>
      </c>
      <c r="R97" s="8">
        <v>1</v>
      </c>
      <c r="S97" s="8">
        <f>SUM(G97:R97)</f>
        <v>60</v>
      </c>
      <c r="T97" s="8" t="s">
        <v>218</v>
      </c>
    </row>
  </sheetData>
  <sortState xmlns:xlrd2="http://schemas.microsoft.com/office/spreadsheetml/2017/richdata2" ref="A44:U47">
    <sortCondition ref="S44:S47"/>
  </sortState>
  <mergeCells count="4">
    <mergeCell ref="C7:D7"/>
    <mergeCell ref="A1:F1"/>
    <mergeCell ref="A5:F5"/>
    <mergeCell ref="A3:F3"/>
  </mergeCells>
  <phoneticPr fontId="1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Mike Wiseman</cp:lastModifiedBy>
  <dcterms:created xsi:type="dcterms:W3CDTF">2022-11-12T17:21:15Z</dcterms:created>
  <dcterms:modified xsi:type="dcterms:W3CDTF">2022-11-15T19:15:06Z</dcterms:modified>
</cp:coreProperties>
</file>